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ridgeprep.sharepoint.com/sites/SMARTFinanceTeam/Shared Documents/General/26-27 Budget/13 - Sunned/"/>
    </mc:Choice>
  </mc:AlternateContent>
  <xr:revisionPtr revIDLastSave="1776" documentId="8_{3B165382-BBA3-42C4-A8BE-ECA763C73ED6}" xr6:coauthVersionLast="47" xr6:coauthVersionMax="47" xr10:uidLastSave="{85FC6340-D1A8-40C2-BDF2-C66715FEB48A}"/>
  <bookViews>
    <workbookView xWindow="-108" yWindow="-108" windowWidth="23256" windowHeight="13896" activeTab="1" xr2:uid="{D9319446-0858-4597-A2E8-689DE6E31F22}"/>
  </bookViews>
  <sheets>
    <sheet name="Enrollment" sheetId="5" r:id="rId1"/>
    <sheet name="Overall Budget" sheetId="1" r:id="rId2"/>
    <sheet name="Assumptions" sheetId="21" r:id="rId3"/>
    <sheet name="Expense Support" sheetId="20" r:id="rId4"/>
    <sheet name="Contracted Services" sheetId="19" r:id="rId5"/>
    <sheet name="Staffing" sheetId="16" r:id="rId6"/>
    <sheet name="LCIR" sheetId="18" r:id="rId7"/>
    <sheet name="Operations" sheetId="3" r:id="rId8"/>
    <sheet name="Technology" sheetId="10" r:id="rId9"/>
    <sheet name="Title IV" sheetId="17" r:id="rId10"/>
    <sheet name="Tables" sheetId="15" r:id="rId11"/>
    <sheet name="Academics" sheetId="9" r:id="rId12"/>
    <sheet name="Marketing" sheetId="6" r:id="rId13"/>
    <sheet name="Finance" sheetId="7" r:id="rId14"/>
  </sheets>
  <definedNames>
    <definedName name="_xlnm._FilterDatabase" localSheetId="4" hidden="1">'Contracted Services'!$A$1:$D$23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8" i="1" l="1"/>
  <c r="J83" i="1"/>
  <c r="J78" i="1"/>
  <c r="J74" i="1"/>
  <c r="J72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4" i="1"/>
  <c r="J42" i="1" l="1"/>
  <c r="J41" i="1"/>
  <c r="J39" i="1"/>
  <c r="I30" i="1" l="1"/>
  <c r="I6" i="1"/>
  <c r="I17" i="1" l="1"/>
  <c r="I32" i="1" s="1"/>
  <c r="I70" i="1"/>
  <c r="I39" i="1"/>
  <c r="I72" i="1" l="1"/>
  <c r="I74" i="1" s="1"/>
  <c r="H80" i="1" l="1"/>
  <c r="I80" i="1" s="1"/>
  <c r="H75" i="1"/>
  <c r="I75" i="1" s="1"/>
  <c r="H40" i="1"/>
  <c r="H33" i="1"/>
  <c r="H31" i="1"/>
  <c r="H27" i="1"/>
  <c r="H18" i="1"/>
  <c r="H7" i="1"/>
  <c r="B34" i="1" l="1"/>
  <c r="Z33" i="16"/>
  <c r="S33" i="16"/>
  <c r="I33" i="16"/>
  <c r="AG28" i="16" l="1"/>
  <c r="AI2" i="16"/>
  <c r="U33" i="16"/>
  <c r="C36" i="1" s="1"/>
  <c r="AD33" i="16"/>
  <c r="C34" i="1"/>
  <c r="B76" i="1"/>
  <c r="C32" i="20"/>
  <c r="F87" i="1" l="1"/>
  <c r="H87" i="1" s="1"/>
  <c r="D88" i="1"/>
  <c r="B85" i="1"/>
  <c r="B86" i="1" l="1"/>
  <c r="F85" i="1"/>
  <c r="H85" i="1" s="1"/>
  <c r="B44" i="1"/>
  <c r="B54" i="1"/>
  <c r="F86" i="1" l="1"/>
  <c r="H86" i="1" s="1"/>
  <c r="C37" i="1"/>
  <c r="X28" i="16" l="1"/>
  <c r="AE28" i="16"/>
  <c r="AD28" i="16"/>
  <c r="T28" i="16" l="1"/>
  <c r="J25" i="16"/>
  <c r="T21" i="16"/>
  <c r="T16" i="16"/>
  <c r="V9" i="16"/>
  <c r="S6" i="16"/>
  <c r="S4" i="16"/>
  <c r="AG11" i="16" l="1"/>
  <c r="B47" i="1"/>
  <c r="C10" i="20"/>
  <c r="C11" i="20"/>
  <c r="AE4" i="16" l="1"/>
  <c r="AD4" i="16"/>
  <c r="AB33" i="16"/>
  <c r="AC33" i="16"/>
  <c r="AF33" i="16"/>
  <c r="V33" i="16"/>
  <c r="C69" i="20" l="1"/>
  <c r="B51" i="1"/>
  <c r="D23" i="3"/>
  <c r="C64" i="20" l="1"/>
  <c r="C45" i="20"/>
  <c r="C50" i="20"/>
  <c r="C49" i="20"/>
  <c r="C48" i="20"/>
  <c r="C47" i="20"/>
  <c r="C46" i="20"/>
  <c r="C39" i="20"/>
  <c r="C38" i="20"/>
  <c r="C37" i="20"/>
  <c r="C33" i="20"/>
  <c r="B58" i="1" s="1"/>
  <c r="C27" i="20"/>
  <c r="C26" i="20"/>
  <c r="C28" i="20" s="1"/>
  <c r="D9" i="3"/>
  <c r="C19" i="20"/>
  <c r="C18" i="20"/>
  <c r="C17" i="20"/>
  <c r="C16" i="20"/>
  <c r="C9" i="20"/>
  <c r="C8" i="20"/>
  <c r="C7" i="20"/>
  <c r="C6" i="20"/>
  <c r="C5" i="20"/>
  <c r="C4" i="20"/>
  <c r="C73" i="20" l="1"/>
  <c r="B66" i="1" s="1"/>
  <c r="C60" i="20"/>
  <c r="C40" i="20"/>
  <c r="C41" i="20" s="1"/>
  <c r="C42" i="20" s="1"/>
  <c r="B59" i="1" s="1"/>
  <c r="C52" i="20"/>
  <c r="C20" i="20"/>
  <c r="C12" i="20" l="1"/>
  <c r="C13" i="20" s="1"/>
  <c r="C53" i="20"/>
  <c r="C54" i="20" s="1"/>
  <c r="B61" i="1" s="1"/>
  <c r="C21" i="20"/>
  <c r="C22" i="20" s="1"/>
  <c r="B46" i="1" s="1"/>
  <c r="B65" i="1"/>
  <c r="D5" i="10"/>
  <c r="D9" i="10"/>
  <c r="D13" i="10"/>
  <c r="B48" i="1"/>
  <c r="C70" i="1"/>
  <c r="D70" i="1"/>
  <c r="E70" i="1"/>
  <c r="D39" i="1"/>
  <c r="E39" i="1"/>
  <c r="C30" i="1"/>
  <c r="D30" i="1"/>
  <c r="E30" i="1"/>
  <c r="D17" i="1"/>
  <c r="C6" i="1"/>
  <c r="D6" i="1"/>
  <c r="E6" i="1"/>
  <c r="D72" i="1" l="1"/>
  <c r="E72" i="1"/>
  <c r="D32" i="1"/>
  <c r="D74" i="1" l="1"/>
  <c r="D78" i="1" s="1"/>
  <c r="R13" i="16"/>
  <c r="J13" i="16"/>
  <c r="AE30" i="16"/>
  <c r="AD30" i="16"/>
  <c r="S30" i="16"/>
  <c r="R30" i="16"/>
  <c r="J30" i="16"/>
  <c r="AE31" i="16"/>
  <c r="AD31" i="16"/>
  <c r="S31" i="16"/>
  <c r="R31" i="16"/>
  <c r="J31" i="16"/>
  <c r="I6" i="16"/>
  <c r="S5" i="16"/>
  <c r="X13" i="16" l="1"/>
  <c r="Y13" i="16"/>
  <c r="Z13" i="16"/>
  <c r="X30" i="16"/>
  <c r="Y30" i="16"/>
  <c r="Z30" i="16"/>
  <c r="Z31" i="16"/>
  <c r="X31" i="16"/>
  <c r="Y31" i="16"/>
  <c r="AA13" i="16" l="1"/>
  <c r="AG13" i="16" s="1"/>
  <c r="AA30" i="16"/>
  <c r="AG30" i="16" s="1"/>
  <c r="AA31" i="16"/>
  <c r="AG31" i="16" s="1"/>
  <c r="F19" i="1" l="1"/>
  <c r="H19" i="1" s="1"/>
  <c r="B3" i="1"/>
  <c r="C20" i="10"/>
  <c r="D19" i="10"/>
  <c r="C19" i="10"/>
  <c r="D7" i="10"/>
  <c r="D20" i="10" s="1"/>
  <c r="C21" i="10" l="1"/>
  <c r="D21" i="10"/>
  <c r="B56" i="1" l="1"/>
  <c r="L2" i="18" l="1"/>
  <c r="K2" i="18"/>
  <c r="M2" i="18" s="1"/>
  <c r="N2" i="18" s="1"/>
  <c r="O2" i="18" s="1"/>
  <c r="I2" i="18"/>
  <c r="B4" i="1"/>
  <c r="C2" i="5" l="1"/>
  <c r="B41" i="1"/>
  <c r="R6" i="16" l="1"/>
  <c r="T6" i="16" s="1"/>
  <c r="R3" i="16"/>
  <c r="Y3" i="16" l="1"/>
  <c r="Z32" i="16"/>
  <c r="J7" i="16"/>
  <c r="R7" i="16"/>
  <c r="R12" i="16"/>
  <c r="Z12" i="16" l="1"/>
  <c r="T12" i="16"/>
  <c r="Z7" i="16"/>
  <c r="T7" i="16"/>
  <c r="X3" i="16"/>
  <c r="Z3" i="16"/>
  <c r="AA3" i="16" s="1"/>
  <c r="AG3" i="16" s="1"/>
  <c r="X7" i="16"/>
  <c r="Y7" i="16"/>
  <c r="X12" i="16"/>
  <c r="Y12" i="16"/>
  <c r="AA12" i="16" l="1"/>
  <c r="AG12" i="16" s="1"/>
  <c r="AA7" i="16"/>
  <c r="AG7" i="16" s="1"/>
  <c r="F5" i="1" l="1"/>
  <c r="H5" i="1" s="1"/>
  <c r="F28" i="1" l="1"/>
  <c r="H28" i="1" s="1"/>
  <c r="J29" i="16" l="1"/>
  <c r="J28" i="16"/>
  <c r="J11" i="16"/>
  <c r="J12" i="16"/>
  <c r="R5" i="16"/>
  <c r="T5" i="16" s="1"/>
  <c r="J5" i="16"/>
  <c r="J6" i="16"/>
  <c r="J4" i="16"/>
  <c r="X6" i="16" l="1"/>
  <c r="Z6" i="16"/>
  <c r="X5" i="16"/>
  <c r="Z5" i="16"/>
  <c r="Y5" i="16"/>
  <c r="AA5" i="16" s="1"/>
  <c r="AG5" i="16" s="1"/>
  <c r="Y6" i="16"/>
  <c r="AA6" i="16" l="1"/>
  <c r="AG6" i="16" s="1"/>
  <c r="F2" i="1"/>
  <c r="D19" i="3" l="1"/>
  <c r="S28" i="16" l="1"/>
  <c r="S25" i="16"/>
  <c r="S26" i="16"/>
  <c r="B44" i="3" l="1"/>
  <c r="AG8" i="16" l="1"/>
  <c r="AG14" i="16"/>
  <c r="AG24" i="16"/>
  <c r="AG27" i="16"/>
  <c r="AI84" i="16"/>
  <c r="AI83" i="16"/>
  <c r="AI82" i="16"/>
  <c r="AI81" i="16"/>
  <c r="AI80" i="16"/>
  <c r="AI79" i="16"/>
  <c r="AI78" i="16"/>
  <c r="AI77" i="16"/>
  <c r="AI76" i="16"/>
  <c r="AI75" i="16"/>
  <c r="AE29" i="16"/>
  <c r="AD29" i="16"/>
  <c r="R29" i="16"/>
  <c r="T29" i="16" s="1"/>
  <c r="R28" i="16"/>
  <c r="A27" i="16"/>
  <c r="AE26" i="16"/>
  <c r="AD26" i="16"/>
  <c r="R26" i="16"/>
  <c r="AE25" i="16"/>
  <c r="AD25" i="16"/>
  <c r="R25" i="16"/>
  <c r="AE23" i="16"/>
  <c r="R23" i="16"/>
  <c r="J23" i="16"/>
  <c r="AE22" i="16"/>
  <c r="AD22" i="16"/>
  <c r="R22" i="16"/>
  <c r="T22" i="16" s="1"/>
  <c r="J22" i="16"/>
  <c r="AE21" i="16"/>
  <c r="R21" i="16"/>
  <c r="J21" i="16"/>
  <c r="R20" i="16"/>
  <c r="J20" i="16"/>
  <c r="R19" i="16"/>
  <c r="J19" i="16"/>
  <c r="AE18" i="16"/>
  <c r="AD18" i="16"/>
  <c r="R18" i="16"/>
  <c r="J18" i="16"/>
  <c r="AD17" i="16"/>
  <c r="R17" i="16"/>
  <c r="J17" i="16"/>
  <c r="AI16" i="16"/>
  <c r="R16" i="16"/>
  <c r="J16" i="16"/>
  <c r="AI15" i="16"/>
  <c r="AE15" i="16"/>
  <c r="AD15" i="16"/>
  <c r="R15" i="16"/>
  <c r="T15" i="16" s="1"/>
  <c r="J15" i="16"/>
  <c r="AI14" i="16"/>
  <c r="A14" i="16"/>
  <c r="R11" i="16"/>
  <c r="AI10" i="16"/>
  <c r="R10" i="16"/>
  <c r="J10" i="16"/>
  <c r="R9" i="16"/>
  <c r="J9" i="16"/>
  <c r="A8" i="16"/>
  <c r="R4" i="16"/>
  <c r="A2" i="16"/>
  <c r="Z9" i="16" l="1"/>
  <c r="T9" i="16"/>
  <c r="Z19" i="16"/>
  <c r="T19" i="16"/>
  <c r="Z10" i="16"/>
  <c r="T10" i="16"/>
  <c r="Z29" i="16"/>
  <c r="Z20" i="16"/>
  <c r="Z11" i="16"/>
  <c r="T11" i="16"/>
  <c r="X11" i="16" s="1"/>
  <c r="Z15" i="16"/>
  <c r="Z23" i="16"/>
  <c r="T23" i="16"/>
  <c r="Z18" i="16"/>
  <c r="T18" i="16"/>
  <c r="Z28" i="16"/>
  <c r="Z17" i="16"/>
  <c r="T17" i="16"/>
  <c r="Z16" i="16"/>
  <c r="AI1" i="16"/>
  <c r="Y21" i="16"/>
  <c r="Z21" i="16"/>
  <c r="Z4" i="16"/>
  <c r="Y22" i="16"/>
  <c r="Z22" i="16"/>
  <c r="AE19" i="16"/>
  <c r="AD16" i="16"/>
  <c r="AE20" i="16"/>
  <c r="AD10" i="16"/>
  <c r="AE11" i="16"/>
  <c r="AE9" i="16"/>
  <c r="Y18" i="16"/>
  <c r="Y17" i="16"/>
  <c r="Y20" i="16"/>
  <c r="S20" i="16"/>
  <c r="Y23" i="16"/>
  <c r="S23" i="16"/>
  <c r="X23" i="16" s="1"/>
  <c r="AA23" i="16" s="1"/>
  <c r="AD19" i="16"/>
  <c r="AD9" i="16"/>
  <c r="S15" i="16"/>
  <c r="S18" i="16"/>
  <c r="X9" i="16"/>
  <c r="AA9" i="16" s="1"/>
  <c r="AG9" i="16" s="1"/>
  <c r="S17" i="16"/>
  <c r="S21" i="16"/>
  <c r="S16" i="16"/>
  <c r="X16" i="16" s="1"/>
  <c r="Y4" i="16"/>
  <c r="Y19" i="16"/>
  <c r="S19" i="16"/>
  <c r="X19" i="16" s="1"/>
  <c r="S22" i="16"/>
  <c r="X22" i="16" s="1"/>
  <c r="Y26" i="16"/>
  <c r="AI18" i="16"/>
  <c r="AI67" i="16" s="1"/>
  <c r="Y11" i="16"/>
  <c r="AD21" i="16"/>
  <c r="Y29" i="16"/>
  <c r="AD11" i="16"/>
  <c r="Y16" i="16"/>
  <c r="AE17" i="16"/>
  <c r="Y10" i="16"/>
  <c r="AD20" i="16"/>
  <c r="AI9" i="16"/>
  <c r="Y25" i="16"/>
  <c r="AE16" i="16"/>
  <c r="AE33" i="16" s="1"/>
  <c r="Y28" i="16"/>
  <c r="X4" i="16"/>
  <c r="Y9" i="16"/>
  <c r="AE10" i="16"/>
  <c r="AD23" i="16"/>
  <c r="T26" i="16"/>
  <c r="X26" i="16" s="1"/>
  <c r="T25" i="16"/>
  <c r="X25" i="16" s="1"/>
  <c r="Y15" i="16"/>
  <c r="Y33" i="16" l="1"/>
  <c r="T33" i="16"/>
  <c r="X20" i="16"/>
  <c r="AI4" i="16"/>
  <c r="B37" i="1" s="1"/>
  <c r="AA4" i="16"/>
  <c r="X18" i="16"/>
  <c r="X17" i="16"/>
  <c r="X15" i="16"/>
  <c r="AA15" i="16" s="1"/>
  <c r="AG15" i="16" s="1"/>
  <c r="AG23" i="16"/>
  <c r="AA17" i="16"/>
  <c r="AG17" i="16" s="1"/>
  <c r="X10" i="16"/>
  <c r="AA10" i="16" s="1"/>
  <c r="AG10" i="16" s="1"/>
  <c r="AA11" i="16"/>
  <c r="AA19" i="16"/>
  <c r="AG19" i="16" s="1"/>
  <c r="AI21" i="16"/>
  <c r="X21" i="16"/>
  <c r="AA21" i="16" s="1"/>
  <c r="AG21" i="16" s="1"/>
  <c r="X29" i="16"/>
  <c r="AA29" i="16" s="1"/>
  <c r="AG29" i="16" s="1"/>
  <c r="AA16" i="16"/>
  <c r="AG16" i="16" s="1"/>
  <c r="AA22" i="16"/>
  <c r="AG22" i="16" s="1"/>
  <c r="AI22" i="16"/>
  <c r="AA20" i="16"/>
  <c r="AG20" i="16" s="1"/>
  <c r="AA25" i="16"/>
  <c r="AG25" i="16" s="1"/>
  <c r="AO24" i="16" s="1"/>
  <c r="AI62" i="16"/>
  <c r="AA26" i="16"/>
  <c r="AG26" i="16" s="1"/>
  <c r="AA18" i="16"/>
  <c r="AG18" i="16" s="1"/>
  <c r="AI8" i="16"/>
  <c r="AA28" i="16"/>
  <c r="C39" i="1" l="1"/>
  <c r="C72" i="1" s="1"/>
  <c r="X33" i="16"/>
  <c r="AA33" i="16"/>
  <c r="AG33" i="16" s="1"/>
  <c r="AI23" i="16"/>
  <c r="AI20" i="16"/>
  <c r="B38" i="1" s="1"/>
  <c r="AI63" i="16"/>
  <c r="AI64" i="16" s="1"/>
  <c r="AI66" i="16"/>
  <c r="AG4" i="16"/>
  <c r="AG32" i="16" s="1"/>
  <c r="AI68" i="16" l="1"/>
  <c r="AJ70" i="16"/>
  <c r="AI61" i="16"/>
  <c r="AI65" i="16" s="1"/>
  <c r="AI60" i="16"/>
  <c r="AI25" i="16"/>
  <c r="B11" i="15"/>
  <c r="B16" i="15" s="1"/>
  <c r="B21" i="15" s="1"/>
  <c r="B26" i="15" s="1"/>
  <c r="B31" i="15" s="1"/>
  <c r="B36" i="15" s="1"/>
  <c r="B41" i="15" s="1"/>
  <c r="B46" i="15" s="1"/>
  <c r="B51" i="15" s="1"/>
  <c r="B56" i="15" s="1"/>
  <c r="B61" i="15" s="1"/>
  <c r="B66" i="15" s="1"/>
  <c r="B71" i="15" s="1"/>
  <c r="B76" i="15" s="1"/>
  <c r="B81" i="15" s="1"/>
  <c r="B86" i="15" s="1"/>
  <c r="B91" i="15" s="1"/>
  <c r="B96" i="15" s="1"/>
  <c r="B10" i="15"/>
  <c r="B15" i="15" s="1"/>
  <c r="B20" i="15" s="1"/>
  <c r="B25" i="15" s="1"/>
  <c r="B30" i="15" s="1"/>
  <c r="B35" i="15" s="1"/>
  <c r="B40" i="15" s="1"/>
  <c r="B45" i="15" s="1"/>
  <c r="B50" i="15" s="1"/>
  <c r="B55" i="15" s="1"/>
  <c r="B60" i="15" s="1"/>
  <c r="B65" i="15" s="1"/>
  <c r="B70" i="15" s="1"/>
  <c r="B75" i="15" s="1"/>
  <c r="B80" i="15" s="1"/>
  <c r="B85" i="15" s="1"/>
  <c r="B90" i="15" s="1"/>
  <c r="B95" i="15" s="1"/>
  <c r="B9" i="15"/>
  <c r="B14" i="15" s="1"/>
  <c r="B19" i="15" s="1"/>
  <c r="B24" i="15" s="1"/>
  <c r="B29" i="15" s="1"/>
  <c r="B34" i="15" s="1"/>
  <c r="B39" i="15" s="1"/>
  <c r="B44" i="15" s="1"/>
  <c r="B49" i="15" s="1"/>
  <c r="B54" i="15" s="1"/>
  <c r="B59" i="15" s="1"/>
  <c r="B64" i="15" s="1"/>
  <c r="B69" i="15" s="1"/>
  <c r="B74" i="15" s="1"/>
  <c r="B79" i="15" s="1"/>
  <c r="B84" i="15" s="1"/>
  <c r="B89" i="15" s="1"/>
  <c r="B94" i="15" s="1"/>
  <c r="B8" i="15"/>
  <c r="B13" i="15" s="1"/>
  <c r="B18" i="15" s="1"/>
  <c r="B23" i="15" s="1"/>
  <c r="B28" i="15" s="1"/>
  <c r="B33" i="15" s="1"/>
  <c r="B38" i="15" s="1"/>
  <c r="B43" i="15" s="1"/>
  <c r="B48" i="15" s="1"/>
  <c r="B53" i="15" s="1"/>
  <c r="B58" i="15" s="1"/>
  <c r="B63" i="15" s="1"/>
  <c r="B68" i="15" s="1"/>
  <c r="B73" i="15" s="1"/>
  <c r="B78" i="15" s="1"/>
  <c r="B83" i="15" s="1"/>
  <c r="B88" i="15" s="1"/>
  <c r="B93" i="15" s="1"/>
  <c r="B7" i="15"/>
  <c r="B12" i="15" s="1"/>
  <c r="B17" i="15" s="1"/>
  <c r="B22" i="15" s="1"/>
  <c r="B27" i="15" s="1"/>
  <c r="B32" i="15" s="1"/>
  <c r="B37" i="15" s="1"/>
  <c r="B42" i="15" s="1"/>
  <c r="B47" i="15" s="1"/>
  <c r="B52" i="15" s="1"/>
  <c r="B57" i="15" s="1"/>
  <c r="B62" i="15" s="1"/>
  <c r="B67" i="15" s="1"/>
  <c r="B72" i="15" s="1"/>
  <c r="B77" i="15" s="1"/>
  <c r="B82" i="15" s="1"/>
  <c r="B87" i="15" s="1"/>
  <c r="B92" i="15" s="1"/>
  <c r="AI69" i="16" l="1"/>
  <c r="AI70" i="16"/>
  <c r="AJ71" i="16" l="1"/>
  <c r="E17" i="1" l="1"/>
  <c r="E32" i="1" s="1"/>
  <c r="E74" i="1" s="1"/>
  <c r="E78" i="1" s="1"/>
  <c r="E83" i="1" l="1"/>
  <c r="E88" i="1" s="1"/>
  <c r="B49" i="3"/>
  <c r="B23" i="6" l="1"/>
  <c r="D56" i="7"/>
  <c r="D47" i="7"/>
  <c r="D39" i="7"/>
  <c r="D31" i="7"/>
  <c r="D30" i="7"/>
  <c r="D25" i="7"/>
  <c r="D24" i="7"/>
  <c r="D23" i="7"/>
  <c r="D22" i="7"/>
  <c r="G12" i="7"/>
  <c r="C9" i="7"/>
  <c r="Q18" i="9" l="1"/>
  <c r="L18" i="9"/>
  <c r="O18" i="9" s="1"/>
  <c r="G18" i="9"/>
  <c r="J18" i="9" s="1"/>
  <c r="M11" i="9"/>
  <c r="J6" i="9"/>
  <c r="I6" i="9"/>
  <c r="D44" i="3"/>
  <c r="E44" i="3" s="1"/>
  <c r="D29" i="3"/>
  <c r="B52" i="1" s="1"/>
  <c r="D28" i="3"/>
  <c r="G28" i="3" s="1"/>
  <c r="D22" i="3"/>
  <c r="D21" i="3"/>
  <c r="D18" i="3"/>
  <c r="D17" i="3"/>
  <c r="D16" i="3"/>
  <c r="D15" i="3"/>
  <c r="D14" i="3"/>
  <c r="D24" i="3" s="1"/>
  <c r="D8" i="3"/>
  <c r="D7" i="3"/>
  <c r="D6" i="3"/>
  <c r="D5" i="3"/>
  <c r="D4" i="3"/>
  <c r="D3" i="3"/>
  <c r="D25" i="3" l="1"/>
  <c r="D26" i="3" s="1"/>
  <c r="B50" i="1" s="1"/>
  <c r="D10" i="3"/>
  <c r="L11" i="9"/>
  <c r="S18" i="9"/>
  <c r="R18" i="9"/>
  <c r="D11" i="3" l="1"/>
  <c r="D12" i="3" s="1"/>
  <c r="B49" i="1" s="1"/>
  <c r="C5" i="5"/>
  <c r="G2" i="18" s="1"/>
  <c r="D44" i="7" l="1"/>
  <c r="D57" i="7" s="1"/>
  <c r="C57" i="7"/>
  <c r="F82" i="1" l="1"/>
  <c r="H82" i="1" s="1"/>
  <c r="F77" i="1" l="1"/>
  <c r="H77" i="1" s="1"/>
  <c r="I77" i="1" s="1"/>
  <c r="I78" i="1" s="1"/>
  <c r="B81" i="1"/>
  <c r="F76" i="1"/>
  <c r="H76" i="1" s="1"/>
  <c r="F81" i="1" l="1"/>
  <c r="H81" i="1" s="1"/>
  <c r="I81" i="1" s="1"/>
  <c r="I83" i="1" s="1"/>
  <c r="F69" i="1"/>
  <c r="F67" i="1"/>
  <c r="F66" i="1"/>
  <c r="F65" i="1"/>
  <c r="F64" i="1"/>
  <c r="F63" i="1"/>
  <c r="H63" i="1" s="1"/>
  <c r="F61" i="1"/>
  <c r="F60" i="1"/>
  <c r="F59" i="1"/>
  <c r="F58" i="1"/>
  <c r="F56" i="1"/>
  <c r="F55" i="1"/>
  <c r="F54" i="1"/>
  <c r="F53" i="1"/>
  <c r="H53" i="1" s="1"/>
  <c r="F52" i="1"/>
  <c r="F51" i="1"/>
  <c r="F50" i="1"/>
  <c r="F49" i="1"/>
  <c r="F48" i="1"/>
  <c r="F47" i="1"/>
  <c r="F46" i="1"/>
  <c r="F45" i="1"/>
  <c r="H45" i="1" s="1"/>
  <c r="F44" i="1"/>
  <c r="F36" i="1"/>
  <c r="H36" i="1" s="1"/>
  <c r="F29" i="1"/>
  <c r="H29" i="1" s="1"/>
  <c r="F26" i="1"/>
  <c r="H26" i="1" s="1"/>
  <c r="F25" i="1"/>
  <c r="H25" i="1" s="1"/>
  <c r="F24" i="1"/>
  <c r="H24" i="1" s="1"/>
  <c r="F22" i="1"/>
  <c r="H22" i="1" s="1"/>
  <c r="F21" i="1"/>
  <c r="H21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H50" i="1" l="1"/>
  <c r="H46" i="1"/>
  <c r="H59" i="1"/>
  <c r="H51" i="1"/>
  <c r="H49" i="1"/>
  <c r="H56" i="1"/>
  <c r="H47" i="1"/>
  <c r="H48" i="1"/>
  <c r="H52" i="1"/>
  <c r="H54" i="1"/>
  <c r="H55" i="1"/>
  <c r="H58" i="1"/>
  <c r="H60" i="1"/>
  <c r="H61" i="1"/>
  <c r="H64" i="1"/>
  <c r="H65" i="1"/>
  <c r="H66" i="1"/>
  <c r="H67" i="1"/>
  <c r="H44" i="1"/>
  <c r="H69" i="1"/>
  <c r="I88" i="1"/>
  <c r="I89" i="1" s="1"/>
  <c r="F37" i="1"/>
  <c r="H37" i="1" s="1"/>
  <c r="F23" i="1"/>
  <c r="H23" i="1" s="1"/>
  <c r="F62" i="1"/>
  <c r="F68" i="1"/>
  <c r="H68" i="1" s="1"/>
  <c r="F8" i="1"/>
  <c r="H8" i="1" s="1"/>
  <c r="C17" i="1"/>
  <c r="C32" i="1" s="1"/>
  <c r="C74" i="1" s="1"/>
  <c r="B17" i="1"/>
  <c r="H62" i="1" l="1"/>
  <c r="C78" i="1"/>
  <c r="C83" i="1" s="1"/>
  <c r="C88" i="1" s="1"/>
  <c r="B6" i="1"/>
  <c r="F42" i="1"/>
  <c r="F43" i="1"/>
  <c r="H43" i="1" s="1"/>
  <c r="F57" i="1"/>
  <c r="H57" i="1" s="1"/>
  <c r="F16" i="1"/>
  <c r="H16" i="1" s="1"/>
  <c r="H17" i="1" s="1"/>
  <c r="H42" i="1" l="1"/>
  <c r="C79" i="1"/>
  <c r="B20" i="1"/>
  <c r="F4" i="1"/>
  <c r="H4" i="1" s="1"/>
  <c r="F3" i="1"/>
  <c r="H3" i="1" s="1"/>
  <c r="C89" i="1"/>
  <c r="F17" i="1"/>
  <c r="G42" i="1" l="1"/>
  <c r="F6" i="1"/>
  <c r="H6" i="1" s="1"/>
  <c r="B70" i="1"/>
  <c r="F41" i="1"/>
  <c r="F20" i="1"/>
  <c r="H20" i="1" s="1"/>
  <c r="H30" i="1" s="1"/>
  <c r="H32" i="1" s="1"/>
  <c r="B30" i="1"/>
  <c r="B32" i="1" s="1"/>
  <c r="H41" i="1" l="1"/>
  <c r="H70" i="1" s="1"/>
  <c r="G41" i="1"/>
  <c r="F30" i="1"/>
  <c r="AI26" i="16"/>
  <c r="AI27" i="16" s="1"/>
  <c r="F70" i="1"/>
  <c r="F32" i="1" l="1"/>
  <c r="F38" i="1"/>
  <c r="H38" i="1" s="1"/>
  <c r="G58" i="1" l="1"/>
  <c r="G46" i="1"/>
  <c r="G61" i="1"/>
  <c r="G51" i="1"/>
  <c r="G49" i="1"/>
  <c r="G67" i="1"/>
  <c r="G69" i="1"/>
  <c r="G54" i="1"/>
  <c r="G55" i="1"/>
  <c r="G50" i="1"/>
  <c r="G60" i="1"/>
  <c r="G59" i="1"/>
  <c r="G64" i="1"/>
  <c r="G56" i="1"/>
  <c r="G44" i="1"/>
  <c r="G52" i="1"/>
  <c r="G48" i="1"/>
  <c r="G65" i="1"/>
  <c r="G47" i="1"/>
  <c r="G66" i="1"/>
  <c r="G62" i="1"/>
  <c r="G70" i="1"/>
  <c r="F34" i="1"/>
  <c r="AL4" i="16" l="1"/>
  <c r="H34" i="1"/>
  <c r="F35" i="1"/>
  <c r="H35" i="1" s="1"/>
  <c r="B39" i="1"/>
  <c r="H39" i="1" l="1"/>
  <c r="H72" i="1" s="1"/>
  <c r="H74" i="1" s="1"/>
  <c r="H78" i="1" s="1"/>
  <c r="H83" i="1" s="1"/>
  <c r="H88" i="1" s="1"/>
  <c r="H89" i="1" s="1"/>
  <c r="B72" i="1"/>
  <c r="F39" i="1"/>
  <c r="G39" i="1" s="1"/>
  <c r="AG35" i="16" l="1"/>
  <c r="AG36" i="16" s="1"/>
  <c r="B74" i="1"/>
  <c r="B78" i="1" s="1"/>
  <c r="AJ72" i="16"/>
  <c r="F72" i="1"/>
  <c r="G72" i="1" s="1"/>
  <c r="F74" i="1" l="1"/>
  <c r="G74" i="1" s="1"/>
  <c r="B79" i="1" l="1"/>
  <c r="B83" i="1"/>
  <c r="B88" i="1" s="1"/>
  <c r="F78" i="1"/>
  <c r="G78" i="1" s="1"/>
  <c r="F83" i="1" l="1"/>
  <c r="G83" i="1" s="1"/>
  <c r="F79" i="1"/>
  <c r="H79" i="1" s="1"/>
  <c r="I79" i="1" s="1"/>
  <c r="F88" i="1" l="1"/>
  <c r="G88" i="1" s="1"/>
  <c r="B89" i="1"/>
  <c r="F8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tc={2B384E16-1AA0-48A0-9178-3DAF8E3F79FB}</author>
    <author>tc={1BB34D6D-F2BB-491D-A731-530FEA88216C}</author>
    <author>tc={A2228740-0E75-4C20-90E9-2FEBCC57842B}</author>
    <author>tc={472BA249-6397-407B-B1EC-68AD6527F2D4}</author>
    <author>Renata Marques</author>
  </authors>
  <commentList>
    <comment ref="T4" authorId="0" shapeId="0" xr:uid="{2B384E16-1AA0-48A0-9178-3DAF8E3F79FB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discretionary incr</t>
      </text>
    </comment>
    <comment ref="V9" authorId="1" shapeId="0" xr:uid="{1BB34D6D-F2BB-491D-A731-530FEA88216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5000 extra for tri-campus support, avoids hiring another individual </t>
      </text>
    </comment>
    <comment ref="G20" authorId="2" shapeId="0" xr:uid="{A2228740-0E75-4C20-90E9-2FEBCC57842B}">
      <text>
        <t>[Threaded comment]
Your version of Excel allows you to read this threaded comment; however, any edits to it will get removed if the file is opened in a newer version of Excel. Learn more: https://go.microsoft.com/fwlink/?linkid=870924
Comment:
    If he doesn’t receive his license, he will get paid less as a para … increased budget for placeholder</t>
      </text>
    </comment>
    <comment ref="T28" authorId="3" shapeId="0" xr:uid="{472BA249-6397-407B-B1EC-68AD6527F2D4}">
      <text>
        <t>[Threaded comment]
Your version of Excel allows you to read this threaded comment; however, any edits to it will get removed if the file is opened in a newer version of Excel. Learn more: https://go.microsoft.com/fwlink/?linkid=870924
Comment:
    Tri-campus support. Includes travel</t>
      </text>
    </comment>
    <comment ref="Z32" authorId="4" shapeId="0" xr:uid="{F72251C3-619E-4430-97D8-CDCD5A457ECE}">
      <text>
        <r>
          <rPr>
            <b/>
            <sz val="9"/>
            <color indexed="81"/>
            <rFont val="Tahoma"/>
            <family val="2"/>
          </rPr>
          <t>Renata Marques:</t>
        </r>
        <r>
          <rPr>
            <sz val="9"/>
            <color indexed="81"/>
            <rFont val="Tahoma"/>
            <family val="2"/>
          </rPr>
          <t xml:space="preserve">
As per Payroll report Oasis shared by Tammy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Sorenson</author>
  </authors>
  <commentList>
    <comment ref="B20" authorId="0" shapeId="0" xr:uid="{8BA1B2E5-8044-4E0C-87C4-1C6291456777}">
      <text>
        <r>
          <rPr>
            <b/>
            <sz val="9"/>
            <color indexed="81"/>
            <rFont val="Tahoma"/>
            <family val="2"/>
          </rPr>
          <t>Ana Sorenson:</t>
        </r>
        <r>
          <rPr>
            <sz val="9"/>
            <color indexed="81"/>
            <rFont val="Tahoma"/>
            <family val="2"/>
          </rPr>
          <t xml:space="preserve">
No Strip/wax, </t>
        </r>
      </text>
    </comment>
  </commentList>
</comments>
</file>

<file path=xl/sharedStrings.xml><?xml version="1.0" encoding="utf-8"?>
<sst xmlns="http://schemas.openxmlformats.org/spreadsheetml/2006/main" count="977" uniqueCount="524">
  <si>
    <t>Total</t>
  </si>
  <si>
    <t>Miami Gardens</t>
  </si>
  <si>
    <t>School</t>
  </si>
  <si>
    <t>Operating</t>
  </si>
  <si>
    <t>CSP</t>
  </si>
  <si>
    <t>Title IV</t>
  </si>
  <si>
    <t>Referendum</t>
  </si>
  <si>
    <t>NSLP</t>
  </si>
  <si>
    <t>FTE</t>
  </si>
  <si>
    <t>Total State Revenue</t>
  </si>
  <si>
    <t>Total FEFP Revenue</t>
  </si>
  <si>
    <t>Capital Outlay</t>
  </si>
  <si>
    <t>FL School Recognition Funds</t>
  </si>
  <si>
    <t>NA</t>
  </si>
  <si>
    <t>Total Federal Revenue</t>
  </si>
  <si>
    <t>Unisig</t>
  </si>
  <si>
    <t>Hardening Grant (Safety and Security)</t>
  </si>
  <si>
    <t>SORT Grant</t>
  </si>
  <si>
    <t>ARP Summer Learning</t>
  </si>
  <si>
    <t>ESSER</t>
  </si>
  <si>
    <t>National School Lunch Program Reimbursement</t>
  </si>
  <si>
    <t>Total Local Revenue</t>
  </si>
  <si>
    <t>Local Capital Improvement</t>
  </si>
  <si>
    <t>Marketing Fee</t>
  </si>
  <si>
    <t>After School Program Funds</t>
  </si>
  <si>
    <t>Other School and Class Fees</t>
  </si>
  <si>
    <t>TOTAL REVENUE</t>
  </si>
  <si>
    <t>Staff Compensation</t>
  </si>
  <si>
    <t>Network Distribution</t>
  </si>
  <si>
    <t xml:space="preserve"> Stipends,Bonuses and other Additional Supplements</t>
  </si>
  <si>
    <t>Payroll Taxes and Benefits</t>
  </si>
  <si>
    <t>TOTAL STAFF COMPENSATION EXPENSE</t>
  </si>
  <si>
    <t>Total Operating Expenses</t>
  </si>
  <si>
    <t>District Fee (3%)</t>
  </si>
  <si>
    <t>Instructional Materials</t>
  </si>
  <si>
    <t>Instructional Licenses</t>
  </si>
  <si>
    <t>Instructional Materials - PD</t>
  </si>
  <si>
    <t>TechLabs Support</t>
  </si>
  <si>
    <t>Technology: Equipment Purchases</t>
  </si>
  <si>
    <t>Utilities: Electricity, Water, Garbage, Telephone, Fire Alarm</t>
  </si>
  <si>
    <t>Recurrent Maintenance</t>
  </si>
  <si>
    <t>Building Repairs</t>
  </si>
  <si>
    <t>Copiers</t>
  </si>
  <si>
    <t>Furniture</t>
  </si>
  <si>
    <t>School Resource Officer</t>
  </si>
  <si>
    <t>Insurance</t>
  </si>
  <si>
    <t>Rent</t>
  </si>
  <si>
    <t>NSLP Expense</t>
  </si>
  <si>
    <t>Marketing</t>
  </si>
  <si>
    <t>Travel</t>
  </si>
  <si>
    <t>Office and Staff Supplies/Materials</t>
  </si>
  <si>
    <t>Principal Discretionary</t>
  </si>
  <si>
    <t>Fundraising Expenses</t>
  </si>
  <si>
    <t>Audit Fees</t>
  </si>
  <si>
    <t>Consulting Services</t>
  </si>
  <si>
    <t>Dues and Fees</t>
  </si>
  <si>
    <t>Legal Services</t>
  </si>
  <si>
    <t>Leases</t>
  </si>
  <si>
    <t>Total Expenses</t>
  </si>
  <si>
    <t>EBTIDA</t>
  </si>
  <si>
    <t>Net Income</t>
  </si>
  <si>
    <t>Interest</t>
  </si>
  <si>
    <t>Depreciation</t>
  </si>
  <si>
    <t>Net Income Margin</t>
  </si>
  <si>
    <t>Net Cash Flow</t>
  </si>
  <si>
    <t>Principal Payments</t>
  </si>
  <si>
    <t>Capital Projects</t>
  </si>
  <si>
    <t>Net Cash Flow after Other Income/Other Expenses</t>
  </si>
  <si>
    <t>County</t>
  </si>
  <si>
    <t>23-24 LCI per fte</t>
  </si>
  <si>
    <t>24-25 LCI per fte</t>
  </si>
  <si>
    <t xml:space="preserve">25-26 (Average LCI for past 2 years) </t>
  </si>
  <si>
    <t>Budget Enrollment</t>
  </si>
  <si>
    <t>LCI Calculation</t>
  </si>
  <si>
    <t>State Capital Outlay</t>
  </si>
  <si>
    <t>Maximum Charter School LCI Allocation</t>
  </si>
  <si>
    <t>LCI for FY 25-26</t>
  </si>
  <si>
    <t>Admin Team</t>
  </si>
  <si>
    <t>Employee ID</t>
  </si>
  <si>
    <t>Employee Name</t>
  </si>
  <si>
    <t>Position</t>
  </si>
  <si>
    <t>Salary</t>
  </si>
  <si>
    <t>Bi-Monthly</t>
  </si>
  <si>
    <t>Pay Type</t>
  </si>
  <si>
    <t>Start Date</t>
  </si>
  <si>
    <t>Supplements</t>
  </si>
  <si>
    <t>Notes</t>
  </si>
  <si>
    <t>Funding Source</t>
  </si>
  <si>
    <t>Total Annual Salary</t>
  </si>
  <si>
    <t>Highly Effective/Effective Increase</t>
  </si>
  <si>
    <t>FICA</t>
  </si>
  <si>
    <t>Other Payroll Taxes</t>
  </si>
  <si>
    <t>Benefits</t>
  </si>
  <si>
    <t>Principal</t>
  </si>
  <si>
    <t>Teachers</t>
  </si>
  <si>
    <t>Auxiliary Staff</t>
  </si>
  <si>
    <t>Tutoring</t>
  </si>
  <si>
    <t>Regular Stipends</t>
  </si>
  <si>
    <t>Summer PD</t>
  </si>
  <si>
    <t>Summer School</t>
  </si>
  <si>
    <t>PTO Payout</t>
  </si>
  <si>
    <t>Employee Type</t>
  </si>
  <si>
    <t>Part Time</t>
  </si>
  <si>
    <t>Shared</t>
  </si>
  <si>
    <t>Teacher Type</t>
  </si>
  <si>
    <t>COLA / Merit Increase</t>
  </si>
  <si>
    <t>Other</t>
  </si>
  <si>
    <t>Total Adjusted</t>
  </si>
  <si>
    <t>b</t>
  </si>
  <si>
    <t>c</t>
  </si>
  <si>
    <t>FICA (Ref)</t>
  </si>
  <si>
    <t>Other Payroll Taxes (Ref)</t>
  </si>
  <si>
    <t>Total Salary</t>
  </si>
  <si>
    <t>Budget P&amp;L allocation</t>
  </si>
  <si>
    <t>Budget Dimension</t>
  </si>
  <si>
    <t>Total Salary (Operating)</t>
  </si>
  <si>
    <t>No</t>
  </si>
  <si>
    <t>Stipends,Bonuses and other Additional Supplements</t>
  </si>
  <si>
    <t>Student Support</t>
  </si>
  <si>
    <t>Total Other Comp Costs</t>
  </si>
  <si>
    <t>Total Compensation without Referendum</t>
  </si>
  <si>
    <t>Total Budget (Operating Revenue)</t>
  </si>
  <si>
    <t>% of Budget (Operating Revenue)</t>
  </si>
  <si>
    <t>Operations Staff</t>
  </si>
  <si>
    <t>Modifications:</t>
  </si>
  <si>
    <t>Total Salary (Ref)</t>
  </si>
  <si>
    <t>Highly Effective/Effective Increase (Ref)</t>
  </si>
  <si>
    <t>COLA / Merit Increase (Ref)</t>
  </si>
  <si>
    <t>Referendum (Ref)</t>
  </si>
  <si>
    <t>Supplements (Ref)</t>
  </si>
  <si>
    <t>Benefits (Ref)</t>
  </si>
  <si>
    <t>Total Adjusted (Ref)</t>
  </si>
  <si>
    <t>Referendum FICA/Taxes (Ref)</t>
  </si>
  <si>
    <t>Summary</t>
  </si>
  <si>
    <t>Total Overall</t>
  </si>
  <si>
    <t>Total Operating</t>
  </si>
  <si>
    <t>Referendum (Operating Column U)</t>
  </si>
  <si>
    <t>Referendum FICA/Taxes (Operating)</t>
  </si>
  <si>
    <t>Total Referendum (Operating)</t>
  </si>
  <si>
    <t>Total Operating without Referendum</t>
  </si>
  <si>
    <t>Total Referendum (Source)</t>
  </si>
  <si>
    <t>All Referendum Money</t>
  </si>
  <si>
    <t>Other Source</t>
  </si>
  <si>
    <t>All Columns plus other comp</t>
  </si>
  <si>
    <t>Summaries</t>
  </si>
  <si>
    <t>Overal tab</t>
  </si>
  <si>
    <t>Title I Summary</t>
  </si>
  <si>
    <t>Academics Extras</t>
  </si>
  <si>
    <t>Additional</t>
  </si>
  <si>
    <t>Total Revenue per Student</t>
  </si>
  <si>
    <t>% Benefits</t>
  </si>
  <si>
    <t>Shared %</t>
  </si>
  <si>
    <t>South</t>
  </si>
  <si>
    <t>Collier</t>
  </si>
  <si>
    <t>Interamerican</t>
  </si>
  <si>
    <t>Greater Miami</t>
  </si>
  <si>
    <t>Palm Beach</t>
  </si>
  <si>
    <t>Advanced Studies</t>
  </si>
  <si>
    <t>North Miami</t>
  </si>
  <si>
    <t>Doral KG5th</t>
  </si>
  <si>
    <t>Village Green Elem</t>
  </si>
  <si>
    <t>Orange</t>
  </si>
  <si>
    <t>Broward</t>
  </si>
  <si>
    <t>Hollywood Hills</t>
  </si>
  <si>
    <t>Duval</t>
  </si>
  <si>
    <t>Tampa</t>
  </si>
  <si>
    <t>Polk</t>
  </si>
  <si>
    <t>Riverview</t>
  </si>
  <si>
    <t>Osceola</t>
  </si>
  <si>
    <t>St. Cloud</t>
  </si>
  <si>
    <t>Doral 6th12th</t>
  </si>
  <si>
    <t>Village Green MSHS</t>
  </si>
  <si>
    <t>Supplies</t>
  </si>
  <si>
    <t xml:space="preserve">Operations Expense </t>
  </si>
  <si>
    <t>Vendor</t>
  </si>
  <si>
    <t>Monthly Amount</t>
  </si>
  <si>
    <t>Total 25-26</t>
  </si>
  <si>
    <t>Utilities: Electricity, Water, Garbage, Telephone, Alarm</t>
  </si>
  <si>
    <t>Electricity</t>
  </si>
  <si>
    <t>Water &amp; Sewer</t>
  </si>
  <si>
    <t>Waste Management</t>
  </si>
  <si>
    <t>Alarms</t>
  </si>
  <si>
    <t>Phone - Operating</t>
  </si>
  <si>
    <t>Internet - Operating</t>
  </si>
  <si>
    <t>Utilities Total</t>
  </si>
  <si>
    <t>Maintenance: AC Maintenance, Lawn, Pest Control</t>
  </si>
  <si>
    <t>A/C Maintenance Agreement</t>
  </si>
  <si>
    <t>Lawn Services</t>
  </si>
  <si>
    <t>Pest Control</t>
  </si>
  <si>
    <t>Repair supplies</t>
  </si>
  <si>
    <t>Custodial Services</t>
  </si>
  <si>
    <t>Custodial Supplies</t>
  </si>
  <si>
    <t>Othe Maintenance (BOY)</t>
  </si>
  <si>
    <t>Othe Maintenance Repairs</t>
  </si>
  <si>
    <t>Elevator maintenance</t>
  </si>
  <si>
    <t>Security</t>
  </si>
  <si>
    <t>Partially Referendum</t>
  </si>
  <si>
    <t xml:space="preserve">Rent </t>
  </si>
  <si>
    <t xml:space="preserve"> Furniture </t>
  </si>
  <si>
    <t>Projects Description</t>
  </si>
  <si>
    <t>Useful life</t>
  </si>
  <si>
    <t>Depreciation 1st Year</t>
  </si>
  <si>
    <t>Depreciation after 1st year</t>
  </si>
  <si>
    <t>Total Estimate</t>
  </si>
  <si>
    <t xml:space="preserve">Priority 1 Estimate </t>
  </si>
  <si>
    <t>Priority 1</t>
  </si>
  <si>
    <t xml:space="preserve">Priority 2 Estimate </t>
  </si>
  <si>
    <t>Priority 2</t>
  </si>
  <si>
    <t xml:space="preserve">Priority 3 Estimate </t>
  </si>
  <si>
    <t>Priority 3</t>
  </si>
  <si>
    <t xml:space="preserve">Priority 4 Estimate </t>
  </si>
  <si>
    <t>Priority 4</t>
  </si>
  <si>
    <t xml:space="preserve">Priority 5 Estimate </t>
  </si>
  <si>
    <t>Priority 5</t>
  </si>
  <si>
    <t xml:space="preserve">Priority 6 Estimate </t>
  </si>
  <si>
    <t>Priority 6</t>
  </si>
  <si>
    <t xml:space="preserve">Priority 7 Estimate </t>
  </si>
  <si>
    <t>Priority 7</t>
  </si>
  <si>
    <t xml:space="preserve">Tutoring </t>
  </si>
  <si>
    <t>School Name</t>
  </si>
  <si>
    <t>Region</t>
  </si>
  <si>
    <t>Grade Levels</t>
  </si>
  <si>
    <t>Test Count</t>
  </si>
  <si>
    <t>Tutoring Hours Per Test</t>
  </si>
  <si>
    <t>Tutoring Pay $/Hour</t>
  </si>
  <si>
    <t>Total Cost</t>
  </si>
  <si>
    <t>Total Tutoring Stipend</t>
  </si>
  <si>
    <t>South Florida</t>
  </si>
  <si>
    <t>Farah Barrat</t>
  </si>
  <si>
    <t>K-6</t>
  </si>
  <si>
    <t>SRO</t>
  </si>
  <si>
    <t>Coordinator</t>
  </si>
  <si>
    <t>Teacher Count</t>
  </si>
  <si>
    <t># of SS Days</t>
  </si>
  <si>
    <t>SS Pay $/Hour</t>
  </si>
  <si>
    <t># of Hours/Day</t>
  </si>
  <si>
    <t>Total Summer Stipend</t>
  </si>
  <si>
    <t>Total Teacher Content Count</t>
  </si>
  <si>
    <t>% of Teachers Attending New Teacher PD</t>
  </si>
  <si>
    <t>Teachers Attending New Teacher PD</t>
  </si>
  <si>
    <t># of Days of New Teacher PD</t>
  </si>
  <si>
    <t>Rate per Day ($100)</t>
  </si>
  <si>
    <t>Cost of Stipends for New Teacher PD</t>
  </si>
  <si>
    <t>% of Teachers Attending Returning Teacher PD</t>
  </si>
  <si>
    <t>Teachers Attending Returning Teacher PD</t>
  </si>
  <si>
    <t># of Days of Returning Teacher PD</t>
  </si>
  <si>
    <t>Cost of Stipends for Returning Teacher PD</t>
  </si>
  <si>
    <t>Travel Costs</t>
  </si>
  <si>
    <t>Shirt, Food, &amp; Supplies</t>
  </si>
  <si>
    <t>Total Teacher Associated Costs for BOY PD</t>
  </si>
  <si>
    <t>Total Stipends</t>
  </si>
  <si>
    <t>Summer PD Contractors</t>
  </si>
  <si>
    <t>Instructional material</t>
  </si>
  <si>
    <t>25-26</t>
  </si>
  <si>
    <t>Prepaid expenses</t>
  </si>
  <si>
    <t>New IM Purchases</t>
  </si>
  <si>
    <t>New IM Licenses Purchases</t>
  </si>
  <si>
    <t>TL Monthly Agreement</t>
  </si>
  <si>
    <t>Replacements /Upgrade Students Devices</t>
  </si>
  <si>
    <t>Replacements /Upgrade Staff Devices</t>
  </si>
  <si>
    <t>New Devices Students</t>
  </si>
  <si>
    <t>New Devices Staff</t>
  </si>
  <si>
    <t>Projectors</t>
  </si>
  <si>
    <t>Total Techlabs Support</t>
  </si>
  <si>
    <t>Total Equipments</t>
  </si>
  <si>
    <t xml:space="preserve">Total </t>
  </si>
  <si>
    <t>Enrollment and Lottery Software</t>
  </si>
  <si>
    <t>Website</t>
  </si>
  <si>
    <t>Branding (recruitment Supplies)</t>
  </si>
  <si>
    <t xml:space="preserve">Rebranding </t>
  </si>
  <si>
    <t>Onboarding Events</t>
  </si>
  <si>
    <t>Media campaigns</t>
  </si>
  <si>
    <t>Mariposa</t>
  </si>
  <si>
    <t>Prepaid Mkt expenses</t>
  </si>
  <si>
    <t>24-25 Projection</t>
  </si>
  <si>
    <t>BP Mngmt</t>
  </si>
  <si>
    <t xml:space="preserve">Expense </t>
  </si>
  <si>
    <t>Monthly Cost</t>
  </si>
  <si>
    <t>Staff Distribution</t>
  </si>
  <si>
    <t xml:space="preserve"> Dues and Fees</t>
  </si>
  <si>
    <t>Cognia</t>
  </si>
  <si>
    <t>Docusign</t>
  </si>
  <si>
    <t>Bank Fees</t>
  </si>
  <si>
    <t>Food Service Solutions</t>
  </si>
  <si>
    <t>Permits</t>
  </si>
  <si>
    <t>Rentals</t>
  </si>
  <si>
    <t>Quickbooks</t>
  </si>
  <si>
    <t>Indeed</t>
  </si>
  <si>
    <t xml:space="preserve">New TeqLease - Furniture </t>
  </si>
  <si>
    <t>Instructional Material</t>
  </si>
  <si>
    <t>TeqLease - Bookpal</t>
  </si>
  <si>
    <t>TeqLease - Furniture</t>
  </si>
  <si>
    <t>Key Government</t>
  </si>
  <si>
    <t>TeqLease - Charging Carts</t>
  </si>
  <si>
    <t>TeqLease - Dell Equip</t>
  </si>
  <si>
    <t>TeqLease - Apple Equip</t>
  </si>
  <si>
    <t>TeqLease - Hertz Furniture</t>
  </si>
  <si>
    <t>Great America Financing</t>
  </si>
  <si>
    <t>TD Synnex Financing</t>
  </si>
  <si>
    <t>Vantage Financial (Hertz Furniture)</t>
  </si>
  <si>
    <t>Vantage Financial (Cafeteria Table)</t>
  </si>
  <si>
    <t>P&amp;I</t>
  </si>
  <si>
    <t>Loan - Principal</t>
  </si>
  <si>
    <t>Loan - Interest</t>
  </si>
  <si>
    <t>E-rate expense (Consulting)</t>
  </si>
  <si>
    <t>Discretionary Expenses</t>
  </si>
  <si>
    <t>Miscellaneous</t>
  </si>
  <si>
    <t>Office Supplies</t>
  </si>
  <si>
    <t>Aftercare</t>
  </si>
  <si>
    <t>Aftercare Supplies</t>
  </si>
  <si>
    <t>Travels</t>
  </si>
  <si>
    <t>Other Income - 25-26 Line of Credit Utilization</t>
  </si>
  <si>
    <t>Other Local Revenue - Interest Income</t>
  </si>
  <si>
    <t>Other Local Revenue - E rate Revenue</t>
  </si>
  <si>
    <t>Referendum Settlement Revenue</t>
  </si>
  <si>
    <t>Shirlene Weaver</t>
  </si>
  <si>
    <t>Karimah Grayson</t>
  </si>
  <si>
    <t>Jeremy Baker</t>
  </si>
  <si>
    <t>ESOL Coordinator</t>
  </si>
  <si>
    <t>Tanya Henry</t>
  </si>
  <si>
    <t>Matthew Silvestri</t>
  </si>
  <si>
    <t>English Teacher</t>
  </si>
  <si>
    <t>Gregory Heilig</t>
  </si>
  <si>
    <t>Mathematics Teacher</t>
  </si>
  <si>
    <t>Michael Clarke</t>
  </si>
  <si>
    <t>Phillip Tyson</t>
  </si>
  <si>
    <t>Science Teacher/Testing Coordinator</t>
  </si>
  <si>
    <t>Mario Daley</t>
  </si>
  <si>
    <t>Social Science Teacher</t>
  </si>
  <si>
    <t>Tajae Marsh</t>
  </si>
  <si>
    <t>Reading Teacher/Literacy</t>
  </si>
  <si>
    <t xml:space="preserve">Alisa Walton </t>
  </si>
  <si>
    <t>Reading Teacher</t>
  </si>
  <si>
    <t>Aida Campbell</t>
  </si>
  <si>
    <t>Assistant Principal/Discipline/Facilities/Attendance</t>
  </si>
  <si>
    <t>TerryAnn DeCambre</t>
  </si>
  <si>
    <t>Student Success and Life Coaching Specialist</t>
  </si>
  <si>
    <t>Hazra Collier</t>
  </si>
  <si>
    <t>Cassandra Whyms</t>
  </si>
  <si>
    <t>Paraprofessional – Front office</t>
  </si>
  <si>
    <t>Brian Bragg</t>
  </si>
  <si>
    <t>Community Liaison/ Enrollment Specialist – Dual Campus</t>
  </si>
  <si>
    <t>Stephanie Barrera</t>
  </si>
  <si>
    <t>Josephine Guzman</t>
  </si>
  <si>
    <t>IMT/Data Specialist/Registrar</t>
  </si>
  <si>
    <t>Sublease Net Revenue</t>
  </si>
  <si>
    <t>Sunned - North Broward</t>
  </si>
  <si>
    <t>CAM Revenue</t>
  </si>
  <si>
    <t xml:space="preserve"> Basic 9-12 with ESE Services</t>
  </si>
  <si>
    <t>Basic 9-12</t>
  </si>
  <si>
    <t>Enrollment</t>
  </si>
  <si>
    <t>Sunned North</t>
  </si>
  <si>
    <t>Miscellaneous Expenses</t>
  </si>
  <si>
    <t>Transportation Expense</t>
  </si>
  <si>
    <t>Executive Director</t>
  </si>
  <si>
    <t>Yes</t>
  </si>
  <si>
    <t xml:space="preserve">Management Fee </t>
  </si>
  <si>
    <t>$30-35 each school</t>
  </si>
  <si>
    <t>Keep the same</t>
  </si>
  <si>
    <t>3% increase each year</t>
  </si>
  <si>
    <t xml:space="preserve">As per Feb FEFP worksheet </t>
  </si>
  <si>
    <t>Projected 26-27 LCI per FTE</t>
  </si>
  <si>
    <t>Other Local Revenue - Other Misc.</t>
  </si>
  <si>
    <t>Ends in 25-26</t>
  </si>
  <si>
    <t>FY 27 Notes from Budget calls</t>
  </si>
  <si>
    <t xml:space="preserve">Title II plus (incl books, magazines) and Title IV (IXL), matrix funds for ESE part of Speech language bills, usually covers for 2 months bill - Tammy's plan </t>
  </si>
  <si>
    <t>Account transfer to Banesco -  Brittany confirmed high yield account, keep same level of interest</t>
  </si>
  <si>
    <t>Bonus</t>
  </si>
  <si>
    <t>Salary Increase</t>
  </si>
  <si>
    <t>Supplements (Reading endorssed, ESE, ESOL, etc..</t>
  </si>
  <si>
    <t>Comcast</t>
  </si>
  <si>
    <t>FPL</t>
  </si>
  <si>
    <t>Indian River Networks</t>
  </si>
  <si>
    <t>City of Margate</t>
  </si>
  <si>
    <t>Various Vendors: Amazon, Dollar Tree</t>
  </si>
  <si>
    <t>Pro Pest Control</t>
  </si>
  <si>
    <t>Active Alarms</t>
  </si>
  <si>
    <t>*Based on actuals</t>
  </si>
  <si>
    <t>Technology</t>
  </si>
  <si>
    <t>Quantity</t>
  </si>
  <si>
    <t>Monthly</t>
  </si>
  <si>
    <t>Annual</t>
  </si>
  <si>
    <t>Per Connor/Jordan, this would be $1750/month for e-rate</t>
  </si>
  <si>
    <t>Per Connor/Jordan as of 4/14, 2,054.87 per month plus $3,915 onboarding one-time fee</t>
  </si>
  <si>
    <t>130 ESOL (Grade Level 9-12)</t>
  </si>
  <si>
    <t>63 month payment option</t>
  </si>
  <si>
    <t>Provided by Epic / Judith on 4/14</t>
  </si>
  <si>
    <t>Rebecca Azard</t>
  </si>
  <si>
    <t>Business Teacher/English Teacher</t>
  </si>
  <si>
    <t>Sabrina D'Meza</t>
  </si>
  <si>
    <t>Lead ESE Teacher (Tri Campus Meetings)</t>
  </si>
  <si>
    <t>TBD</t>
  </si>
  <si>
    <t>Paraprofessional</t>
  </si>
  <si>
    <t>School Recognition</t>
  </si>
  <si>
    <t>Title II</t>
  </si>
  <si>
    <t>Special Populations Contractor/Contracted Services</t>
  </si>
  <si>
    <t>Ashpoint Security</t>
  </si>
  <si>
    <t>MH Martin Educational Services (Mental Health)</t>
  </si>
  <si>
    <t>Connection Therapy</t>
  </si>
  <si>
    <t xml:space="preserve"> OT</t>
  </si>
  <si>
    <t>SLP</t>
  </si>
  <si>
    <t>Partners in Speech</t>
  </si>
  <si>
    <t>SELAH Capital Management Inc</t>
  </si>
  <si>
    <t>Megan Cyr</t>
  </si>
  <si>
    <t>Diamond Va Services Corp</t>
  </si>
  <si>
    <t>TEAMJAI Security</t>
  </si>
  <si>
    <t>Konica Minoltda Business Solutions USA INC</t>
  </si>
  <si>
    <t>Copier</t>
  </si>
  <si>
    <t>Indian River now being replaced by Techlabs</t>
  </si>
  <si>
    <t xml:space="preserve">Edmentum </t>
  </si>
  <si>
    <t>Instrc Licenses</t>
  </si>
  <si>
    <t>IXL</t>
  </si>
  <si>
    <t>City Wide South Florida Enterprises</t>
  </si>
  <si>
    <t>City Wide South Florida Enterprises, LLC</t>
  </si>
  <si>
    <t>Cleaning Services</t>
  </si>
  <si>
    <t>buglar alarms</t>
  </si>
  <si>
    <t>Summit Fire &amp; Security</t>
  </si>
  <si>
    <t>Fire alarm monitoring company</t>
  </si>
  <si>
    <t>Website and Social Media</t>
  </si>
  <si>
    <t>ADRS of USA</t>
  </si>
  <si>
    <t>Pamela Leek</t>
  </si>
  <si>
    <t>Nurse - CTE Nurse Program</t>
  </si>
  <si>
    <t>ESE Meeting - Nurse for ESE Students</t>
  </si>
  <si>
    <t xml:space="preserve">Paramedic Teacher </t>
  </si>
  <si>
    <t>Extra Space</t>
  </si>
  <si>
    <t>Social Worker (Behavior Interventionist)</t>
  </si>
  <si>
    <t>Divina Brown</t>
  </si>
  <si>
    <t>Painting, and steam clean front office</t>
  </si>
  <si>
    <t>No Furniture Needed</t>
  </si>
  <si>
    <t>impact learning strategies consultant</t>
  </si>
  <si>
    <t>consulting services</t>
  </si>
  <si>
    <t xml:space="preserve">Cognia Accreditation, Consortium, Bank Fees, Quickbooks Subscription, Adobe, </t>
  </si>
  <si>
    <t>15K each (Attorney Fees)</t>
  </si>
  <si>
    <t xml:space="preserve"> Educations Services of America</t>
  </si>
  <si>
    <t>Per auditor - includes 990</t>
  </si>
  <si>
    <t>Exp BeAble</t>
  </si>
  <si>
    <t>Exp Supp Lrng</t>
  </si>
  <si>
    <t>Exp Read180</t>
  </si>
  <si>
    <t>Exp eDynamic</t>
  </si>
  <si>
    <t>From '25-'26 Actuals</t>
  </si>
  <si>
    <t>Instructional Licensing</t>
  </si>
  <si>
    <t>Special Populations</t>
  </si>
  <si>
    <t>Exp IXL</t>
  </si>
  <si>
    <t>x</t>
  </si>
  <si>
    <t>Summit Fire &amp; Security LLC</t>
  </si>
  <si>
    <t>Diamond VA Services Corp</t>
  </si>
  <si>
    <t>TeamJai Security</t>
  </si>
  <si>
    <t>X Bus Pass</t>
  </si>
  <si>
    <t>Facebook</t>
  </si>
  <si>
    <t>ADRS</t>
  </si>
  <si>
    <t>Zoho Corp.</t>
  </si>
  <si>
    <t>Wordpress, Elementor, Walmart</t>
  </si>
  <si>
    <t>Office and staff supplies/materials</t>
  </si>
  <si>
    <t>Amazon</t>
  </si>
  <si>
    <t>Publix</t>
  </si>
  <si>
    <t>DollarTree</t>
  </si>
  <si>
    <t>Sam's Club</t>
  </si>
  <si>
    <t>Misc</t>
  </si>
  <si>
    <t>Epson Store</t>
  </si>
  <si>
    <t>Impact Learning Strategies</t>
  </si>
  <si>
    <t>Conference</t>
  </si>
  <si>
    <t>Looks one time</t>
  </si>
  <si>
    <t>Provided by Bob Farkus, painting</t>
  </si>
  <si>
    <t>3% increase YoY</t>
  </si>
  <si>
    <t>Printers - Amazon</t>
  </si>
  <si>
    <t>3% YoY increase</t>
  </si>
  <si>
    <t>Per Tammy - not needed in budget</t>
  </si>
  <si>
    <t>Adobe</t>
  </si>
  <si>
    <t xml:space="preserve">Consortium </t>
  </si>
  <si>
    <t>dues and fees</t>
  </si>
  <si>
    <t>not in actuals, confirmed with Sarah</t>
  </si>
  <si>
    <t>One-Time Yearly fee, not in actuals because it wasn't on the books when they received it</t>
  </si>
  <si>
    <t>Consortium</t>
  </si>
  <si>
    <t>using 25-26 amount plus 3%</t>
  </si>
  <si>
    <t>Megan Cyr (Paramedic Teacher )</t>
  </si>
  <si>
    <t>Selah Capital Management Inc (Nurse for ESE)</t>
  </si>
  <si>
    <t>Loomis</t>
  </si>
  <si>
    <t>Clover</t>
  </si>
  <si>
    <t xml:space="preserve">Budget Software </t>
  </si>
  <si>
    <t>placeholder</t>
  </si>
  <si>
    <t>Leases (Financing)</t>
  </si>
  <si>
    <t>ExpEdmenSft</t>
  </si>
  <si>
    <t>EX PPd Sftw</t>
  </si>
  <si>
    <t>Special Ops, Not in actuals - only in South</t>
  </si>
  <si>
    <t>Special Ops</t>
  </si>
  <si>
    <t>Per Sarah - "ExpEdmenSft" coded to noncap software and noncap PD training</t>
  </si>
  <si>
    <t>Not in actuals</t>
  </si>
  <si>
    <t>Exp Explore Lrng - Feb</t>
  </si>
  <si>
    <t>Tammy will not be implementing</t>
  </si>
  <si>
    <t>Painting is included in the BOY projects in expenses</t>
  </si>
  <si>
    <t>$120 per month (only 1 main copier on the campus). Konica Minolta Business Solutions USA INC</t>
  </si>
  <si>
    <t>David Edelson</t>
  </si>
  <si>
    <t>TBD - New Employee</t>
  </si>
  <si>
    <t>Enrollment specialist for North</t>
  </si>
  <si>
    <t>Other expenses - Loan to Hollywood</t>
  </si>
  <si>
    <t>includes student transportation (558 per FTE: $153,450)</t>
  </si>
  <si>
    <t>Front Desk Receptionist / Admin Assistant</t>
  </si>
  <si>
    <t>Removed per Tammy</t>
  </si>
  <si>
    <t>consultant</t>
  </si>
  <si>
    <t>accreditation</t>
  </si>
  <si>
    <t>Partners in Speech (SLP)</t>
  </si>
  <si>
    <t>Safe School Allocation</t>
  </si>
  <si>
    <t>Network Equipment + Licensing (Meraki)</t>
  </si>
  <si>
    <t>Other Income - Interest Income</t>
  </si>
  <si>
    <t>Based on 25-26 Actuals</t>
  </si>
  <si>
    <t>Refer to expense support tab for details</t>
  </si>
  <si>
    <t>Tri-campus support, includes travel in salary increase</t>
  </si>
  <si>
    <t>New position salary increase</t>
  </si>
  <si>
    <t>Salary increase includes discretionary</t>
  </si>
  <si>
    <r>
      <t xml:space="preserve">Admin Assistant to Executive Director (Tammy's Assistant) - </t>
    </r>
    <r>
      <rPr>
        <i/>
        <sz val="11"/>
        <rFont val="Aptos Narrow"/>
        <family val="2"/>
        <scheme val="minor"/>
      </rPr>
      <t>Change in position</t>
    </r>
  </si>
  <si>
    <t>Administrative Assistant- Position Change (Previously Paraprofessional) Currently Progress Monitoring &amp; Assists Principal</t>
  </si>
  <si>
    <t>Events Coordinator/Art Teacher - Dual Campus/College and Career Coordinator</t>
  </si>
  <si>
    <t>Assistant Principal/Guidance/Literacy/Assessment/PD Coordinator for all schools</t>
  </si>
  <si>
    <t>Details provided by Tammy</t>
  </si>
  <si>
    <t xml:space="preserve">% increase YoY? </t>
  </si>
  <si>
    <t>Per Student/ per budget</t>
  </si>
  <si>
    <t>Actuals YTD as of April</t>
  </si>
  <si>
    <t>interest income</t>
  </si>
  <si>
    <t>Other expenses</t>
  </si>
  <si>
    <t xml:space="preserve">2. Legal services $15K placeholder </t>
  </si>
  <si>
    <t>3. Social Science teacher (Mario Daley) salary is placeholder, can reduce if license is not received for upcoming school year</t>
  </si>
  <si>
    <t>4. Techlabs assumptions for technology - can be reduced if another vendor is selected</t>
  </si>
  <si>
    <t>1. Marketing $50k placeholder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</si>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</sst>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[$$-409]* #,##0.00_);_([$$-409]* \(#,##0.00\);_([$$-409]* &quot;-&quot;??_);_(@_)"/>
    <numFmt numFmtId="166" formatCode="_(&quot;$&quot;* #,##0_);_(&quot;$&quot;* \(#,##0\);_(&quot;$&quot;* &quot;-&quot;??_);_(@_)"/>
    <numFmt numFmtId="167" formatCode="&quot;$&quot;#,##0.00"/>
  </numFmts>
  <fonts count="3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u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FFFFFF"/>
      <name val="Aptos Display"/>
      <family val="2"/>
      <scheme val="major"/>
    </font>
    <font>
      <b/>
      <sz val="11"/>
      <color rgb="FFFFFFFF"/>
      <name val="Aptos Display"/>
      <family val="2"/>
      <scheme val="major"/>
    </font>
    <font>
      <b/>
      <sz val="16"/>
      <color theme="0"/>
      <name val="Aptos Narrow"/>
      <family val="2"/>
      <scheme val="minor"/>
    </font>
    <font>
      <sz val="16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3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Display"/>
      <family val="2"/>
      <scheme val="major"/>
    </font>
    <font>
      <b/>
      <sz val="11"/>
      <color rgb="FF000000"/>
      <name val="Calibri"/>
      <family val="2"/>
    </font>
    <font>
      <sz val="11"/>
      <color rgb="FFFF0000"/>
      <name val="Aptos Narrow"/>
      <family val="2"/>
      <scheme val="minor"/>
    </font>
    <font>
      <sz val="11"/>
      <color rgb="FF262321"/>
      <name val="Aptos Narrow"/>
      <family val="2"/>
      <scheme val="minor"/>
    </font>
    <font>
      <sz val="10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11"/>
      <color rgb="FF0070C0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name val="Arial"/>
      <family val="2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063762"/>
      </patternFill>
    </fill>
    <fill>
      <patternFill patternType="solid">
        <fgColor rgb="FF172B4E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7" tint="0.39997558519241921"/>
      </left>
      <right/>
      <top style="medium">
        <color indexed="64"/>
      </top>
      <bottom/>
      <diagonal/>
    </border>
    <border>
      <left style="thin">
        <color theme="7" tint="0.39997558519241921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7" tint="0.39997558519241921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7" tint="0.3999755851924192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medium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8"/>
  </cellStyleXfs>
  <cellXfs count="325">
    <xf numFmtId="0" fontId="0" fillId="0" borderId="0" xfId="0"/>
    <xf numFmtId="0" fontId="5" fillId="0" borderId="1" xfId="0" applyFont="1" applyBorder="1"/>
    <xf numFmtId="0" fontId="5" fillId="3" borderId="1" xfId="0" applyFont="1" applyFill="1" applyBorder="1"/>
    <xf numFmtId="164" fontId="6" fillId="0" borderId="2" xfId="1" applyNumberFormat="1" applyFont="1" applyBorder="1"/>
    <xf numFmtId="0" fontId="5" fillId="3" borderId="3" xfId="0" applyFont="1" applyFill="1" applyBorder="1"/>
    <xf numFmtId="164" fontId="4" fillId="3" borderId="2" xfId="1" applyNumberFormat="1" applyFont="1" applyFill="1" applyBorder="1"/>
    <xf numFmtId="0" fontId="5" fillId="0" borderId="3" xfId="0" applyFont="1" applyBorder="1"/>
    <xf numFmtId="164" fontId="4" fillId="0" borderId="2" xfId="1" applyNumberFormat="1" applyFont="1" applyBorder="1"/>
    <xf numFmtId="0" fontId="5" fillId="4" borderId="1" xfId="0" applyFont="1" applyFill="1" applyBorder="1"/>
    <xf numFmtId="0" fontId="4" fillId="2" borderId="4" xfId="0" applyFont="1" applyFill="1" applyBorder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6" borderId="8" xfId="3" applyFont="1" applyFill="1" applyBorder="1"/>
    <xf numFmtId="0" fontId="7" fillId="0" borderId="9" xfId="0" applyFont="1" applyBorder="1" applyAlignment="1">
      <alignment horizontal="left"/>
    </xf>
    <xf numFmtId="0" fontId="9" fillId="0" borderId="9" xfId="0" applyFont="1" applyBorder="1"/>
    <xf numFmtId="0" fontId="10" fillId="7" borderId="9" xfId="0" applyFont="1" applyFill="1" applyBorder="1"/>
    <xf numFmtId="0" fontId="7" fillId="0" borderId="9" xfId="0" applyFont="1" applyBorder="1"/>
    <xf numFmtId="0" fontId="8" fillId="6" borderId="10" xfId="3" applyFont="1" applyFill="1" applyBorder="1"/>
    <xf numFmtId="0" fontId="12" fillId="0" borderId="5" xfId="0" applyFont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3" fontId="12" fillId="8" borderId="5" xfId="0" applyNumberFormat="1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14" fillId="10" borderId="5" xfId="0" applyFont="1" applyFill="1" applyBorder="1" applyAlignment="1">
      <alignment horizontal="center" vertical="center" wrapText="1"/>
    </xf>
    <xf numFmtId="0" fontId="15" fillId="11" borderId="0" xfId="3" quotePrefix="1" applyFont="1" applyFill="1" applyAlignment="1">
      <alignment horizontal="center" vertical="center" wrapText="1"/>
    </xf>
    <xf numFmtId="43" fontId="0" fillId="0" borderId="5" xfId="1" applyFont="1" applyBorder="1"/>
    <xf numFmtId="43" fontId="0" fillId="0" borderId="0" xfId="1" applyFont="1"/>
    <xf numFmtId="43" fontId="0" fillId="0" borderId="5" xfId="0" applyNumberFormat="1" applyBorder="1"/>
    <xf numFmtId="0" fontId="16" fillId="0" borderId="0" xfId="3" applyFont="1" applyAlignment="1">
      <alignment horizontal="center" vertical="center" wrapText="1"/>
    </xf>
    <xf numFmtId="0" fontId="8" fillId="6" borderId="8" xfId="3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43" fontId="17" fillId="0" borderId="5" xfId="1" applyFont="1" applyBorder="1"/>
    <xf numFmtId="43" fontId="17" fillId="0" borderId="5" xfId="0" applyNumberFormat="1" applyFont="1" applyBorder="1"/>
    <xf numFmtId="0" fontId="18" fillId="0" borderId="5" xfId="3" applyFont="1" applyBorder="1" applyAlignment="1">
      <alignment horizontal="center"/>
    </xf>
    <xf numFmtId="0" fontId="0" fillId="0" borderId="11" xfId="0" applyBorder="1"/>
    <xf numFmtId="8" fontId="17" fillId="0" borderId="5" xfId="0" applyNumberFormat="1" applyFont="1" applyBorder="1"/>
    <xf numFmtId="43" fontId="18" fillId="0" borderId="5" xfId="3" applyNumberFormat="1" applyFont="1" applyBorder="1" applyAlignment="1">
      <alignment horizontal="center"/>
    </xf>
    <xf numFmtId="0" fontId="9" fillId="0" borderId="12" xfId="0" applyFont="1" applyBorder="1"/>
    <xf numFmtId="0" fontId="9" fillId="0" borderId="0" xfId="0" applyFont="1"/>
    <xf numFmtId="0" fontId="10" fillId="0" borderId="9" xfId="0" applyFont="1" applyBorder="1"/>
    <xf numFmtId="0" fontId="8" fillId="6" borderId="13" xfId="3" applyFont="1" applyFill="1" applyBorder="1"/>
    <xf numFmtId="43" fontId="8" fillId="6" borderId="13" xfId="3" applyNumberFormat="1" applyFont="1" applyFill="1" applyBorder="1"/>
    <xf numFmtId="0" fontId="18" fillId="0" borderId="0" xfId="3" applyFont="1" applyAlignment="1">
      <alignment horizontal="center"/>
    </xf>
    <xf numFmtId="164" fontId="20" fillId="0" borderId="0" xfId="4" applyNumberFormat="1" applyFont="1" applyFill="1" applyBorder="1" applyAlignment="1" applyProtection="1">
      <alignment horizontal="left"/>
    </xf>
    <xf numFmtId="164" fontId="0" fillId="0" borderId="0" xfId="0" applyNumberFormat="1"/>
    <xf numFmtId="164" fontId="0" fillId="0" borderId="0" xfId="1" applyNumberFormat="1" applyFont="1"/>
    <xf numFmtId="164" fontId="3" fillId="0" borderId="14" xfId="1" applyNumberFormat="1" applyFont="1" applyBorder="1"/>
    <xf numFmtId="0" fontId="0" fillId="0" borderId="15" xfId="0" applyBorder="1"/>
    <xf numFmtId="0" fontId="11" fillId="12" borderId="5" xfId="0" applyFont="1" applyFill="1" applyBorder="1" applyAlignment="1">
      <alignment horizontal="center" vertical="center"/>
    </xf>
    <xf numFmtId="49" fontId="11" fillId="12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6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13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6" fontId="0" fillId="0" borderId="0" xfId="0" applyNumberFormat="1" applyAlignment="1">
      <alignment horizontal="center"/>
    </xf>
    <xf numFmtId="44" fontId="11" fillId="0" borderId="5" xfId="2" applyFont="1" applyFill="1" applyBorder="1" applyAlignment="1">
      <alignment horizontal="center" vertical="center"/>
    </xf>
    <xf numFmtId="44" fontId="0" fillId="0" borderId="5" xfId="2" applyFont="1" applyBorder="1" applyAlignment="1">
      <alignment horizontal="center"/>
    </xf>
    <xf numFmtId="0" fontId="11" fillId="12" borderId="0" xfId="0" applyFont="1" applyFill="1" applyAlignment="1">
      <alignment horizontal="center" vertical="center"/>
    </xf>
    <xf numFmtId="49" fontId="11" fillId="12" borderId="0" xfId="0" applyNumberFormat="1" applyFont="1" applyFill="1" applyAlignment="1">
      <alignment horizontal="center" vertical="center"/>
    </xf>
    <xf numFmtId="1" fontId="0" fillId="0" borderId="0" xfId="0" applyNumberFormat="1" applyAlignment="1">
      <alignment horizontal="center"/>
    </xf>
    <xf numFmtId="0" fontId="3" fillId="13" borderId="5" xfId="0" applyFont="1" applyFill="1" applyBorder="1" applyAlignment="1">
      <alignment horizontal="center" wrapText="1"/>
    </xf>
    <xf numFmtId="1" fontId="11" fillId="0" borderId="5" xfId="2" applyNumberFormat="1" applyFont="1" applyFill="1" applyBorder="1" applyAlignment="1">
      <alignment horizontal="center" vertical="center"/>
    </xf>
    <xf numFmtId="9" fontId="11" fillId="0" borderId="5" xfId="5" applyFont="1" applyFill="1" applyBorder="1" applyAlignment="1">
      <alignment horizontal="center" vertical="center"/>
    </xf>
    <xf numFmtId="1" fontId="11" fillId="0" borderId="5" xfId="5" applyNumberFormat="1" applyFont="1" applyFill="1" applyBorder="1" applyAlignment="1">
      <alignment horizontal="center" vertical="center"/>
    </xf>
    <xf numFmtId="37" fontId="11" fillId="0" borderId="5" xfId="2" applyNumberFormat="1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/>
    </xf>
    <xf numFmtId="0" fontId="3" fillId="14" borderId="0" xfId="0" applyFont="1" applyFill="1" applyAlignment="1">
      <alignment horizontal="center"/>
    </xf>
    <xf numFmtId="6" fontId="0" fillId="14" borderId="0" xfId="0" applyNumberFormat="1" applyFill="1" applyAlignment="1">
      <alignment horizontal="center"/>
    </xf>
    <xf numFmtId="44" fontId="0" fillId="0" borderId="0" xfId="0" applyNumberFormat="1" applyAlignment="1">
      <alignment horizontal="center"/>
    </xf>
    <xf numFmtId="44" fontId="0" fillId="14" borderId="0" xfId="0" applyNumberFormat="1" applyFill="1" applyAlignment="1">
      <alignment horizontal="center"/>
    </xf>
    <xf numFmtId="0" fontId="0" fillId="5" borderId="0" xfId="0" applyFill="1"/>
    <xf numFmtId="0" fontId="3" fillId="14" borderId="5" xfId="0" applyFont="1" applyFill="1" applyBorder="1" applyAlignment="1">
      <alignment horizontal="center" wrapText="1"/>
    </xf>
    <xf numFmtId="9" fontId="0" fillId="0" borderId="0" xfId="5" applyFont="1"/>
    <xf numFmtId="0" fontId="0" fillId="0" borderId="16" xfId="0" applyBorder="1"/>
    <xf numFmtId="164" fontId="20" fillId="0" borderId="17" xfId="4" applyNumberFormat="1" applyFont="1" applyFill="1" applyBorder="1" applyAlignment="1" applyProtection="1">
      <alignment horizontal="left"/>
    </xf>
    <xf numFmtId="0" fontId="0" fillId="0" borderId="17" xfId="0" applyBorder="1"/>
    <xf numFmtId="9" fontId="0" fillId="0" borderId="18" xfId="5" applyFont="1" applyBorder="1"/>
    <xf numFmtId="43" fontId="0" fillId="0" borderId="8" xfId="0" applyNumberFormat="1" applyBorder="1"/>
    <xf numFmtId="0" fontId="3" fillId="0" borderId="0" xfId="0" applyFont="1"/>
    <xf numFmtId="43" fontId="0" fillId="0" borderId="0" xfId="0" applyNumberFormat="1"/>
    <xf numFmtId="0" fontId="9" fillId="5" borderId="9" xfId="0" applyFont="1" applyFill="1" applyBorder="1"/>
    <xf numFmtId="0" fontId="18" fillId="5" borderId="5" xfId="3" applyFont="1" applyFill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43" fontId="0" fillId="5" borderId="5" xfId="0" applyNumberFormat="1" applyFill="1" applyBorder="1"/>
    <xf numFmtId="0" fontId="3" fillId="16" borderId="0" xfId="0" applyFont="1" applyFill="1"/>
    <xf numFmtId="44" fontId="3" fillId="16" borderId="19" xfId="2" applyFont="1" applyFill="1" applyBorder="1" applyAlignment="1">
      <alignment horizontal="center"/>
    </xf>
    <xf numFmtId="0" fontId="3" fillId="16" borderId="19" xfId="0" applyFont="1" applyFill="1" applyBorder="1" applyAlignment="1">
      <alignment horizontal="center" wrapText="1"/>
    </xf>
    <xf numFmtId="0" fontId="3" fillId="16" borderId="19" xfId="0" applyFont="1" applyFill="1" applyBorder="1" applyAlignment="1">
      <alignment horizontal="center"/>
    </xf>
    <xf numFmtId="43" fontId="0" fillId="17" borderId="0" xfId="1" applyFont="1" applyFill="1"/>
    <xf numFmtId="0" fontId="0" fillId="0" borderId="18" xfId="0" applyBorder="1"/>
    <xf numFmtId="43" fontId="0" fillId="0" borderId="18" xfId="1" applyFont="1" applyBorder="1"/>
    <xf numFmtId="43" fontId="0" fillId="0" borderId="15" xfId="1" applyFont="1" applyBorder="1"/>
    <xf numFmtId="44" fontId="11" fillId="5" borderId="5" xfId="2" applyFont="1" applyFill="1" applyBorder="1" applyAlignment="1">
      <alignment horizontal="center" vertical="center"/>
    </xf>
    <xf numFmtId="1" fontId="0" fillId="0" borderId="5" xfId="5" applyNumberFormat="1" applyFont="1" applyBorder="1" applyAlignment="1">
      <alignment horizontal="center"/>
    </xf>
    <xf numFmtId="44" fontId="0" fillId="5" borderId="5" xfId="2" applyFont="1" applyFill="1" applyBorder="1" applyAlignment="1">
      <alignment horizontal="center"/>
    </xf>
    <xf numFmtId="8" fontId="0" fillId="5" borderId="5" xfId="0" applyNumberFormat="1" applyFill="1" applyBorder="1" applyAlignment="1">
      <alignment horizontal="center"/>
    </xf>
    <xf numFmtId="44" fontId="0" fillId="18" borderId="5" xfId="0" applyNumberFormat="1" applyFill="1" applyBorder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0" fillId="0" borderId="15" xfId="1" applyNumberFormat="1" applyFont="1" applyBorder="1" applyAlignment="1">
      <alignment horizontal="center"/>
    </xf>
    <xf numFmtId="43" fontId="0" fillId="0" borderId="0" xfId="1" applyFont="1" applyFill="1"/>
    <xf numFmtId="164" fontId="0" fillId="5" borderId="0" xfId="1" applyNumberFormat="1" applyFont="1" applyFill="1"/>
    <xf numFmtId="0" fontId="0" fillId="0" borderId="0" xfId="0" applyAlignment="1">
      <alignment wrapText="1"/>
    </xf>
    <xf numFmtId="43" fontId="0" fillId="0" borderId="0" xfId="1" applyFont="1" applyAlignment="1">
      <alignment horizontal="center"/>
    </xf>
    <xf numFmtId="164" fontId="0" fillId="2" borderId="0" xfId="0" applyNumberFormat="1" applyFill="1"/>
    <xf numFmtId="164" fontId="3" fillId="0" borderId="0" xfId="1" applyNumberFormat="1" applyFont="1" applyFill="1" applyAlignment="1">
      <alignment horizontal="center"/>
    </xf>
    <xf numFmtId="164" fontId="0" fillId="0" borderId="0" xfId="1" applyNumberFormat="1" applyFont="1" applyFill="1"/>
    <xf numFmtId="164" fontId="3" fillId="0" borderId="14" xfId="1" applyNumberFormat="1" applyFont="1" applyFill="1" applyBorder="1"/>
    <xf numFmtId="3" fontId="14" fillId="9" borderId="5" xfId="0" applyNumberFormat="1" applyFont="1" applyFill="1" applyBorder="1" applyAlignment="1">
      <alignment horizontal="center" vertical="center" wrapText="1"/>
    </xf>
    <xf numFmtId="9" fontId="0" fillId="0" borderId="5" xfId="0" applyNumberFormat="1" applyBorder="1" applyAlignment="1">
      <alignment horizontal="center"/>
    </xf>
    <xf numFmtId="166" fontId="3" fillId="0" borderId="0" xfId="2" applyNumberFormat="1" applyFont="1"/>
    <xf numFmtId="0" fontId="3" fillId="5" borderId="0" xfId="0" applyFont="1" applyFill="1"/>
    <xf numFmtId="166" fontId="3" fillId="5" borderId="0" xfId="2" applyNumberFormat="1" applyFont="1" applyFill="1"/>
    <xf numFmtId="0" fontId="0" fillId="0" borderId="0" xfId="0" quotePrefix="1"/>
    <xf numFmtId="0" fontId="12" fillId="0" borderId="0" xfId="0" applyFont="1"/>
    <xf numFmtId="166" fontId="12" fillId="0" borderId="0" xfId="2" applyNumberFormat="1" applyFont="1"/>
    <xf numFmtId="0" fontId="8" fillId="5" borderId="10" xfId="3" applyFont="1" applyFill="1" applyBorder="1"/>
    <xf numFmtId="0" fontId="0" fillId="0" borderId="0" xfId="0" applyAlignment="1">
      <alignment horizontal="right"/>
    </xf>
    <xf numFmtId="43" fontId="21" fillId="20" borderId="21" xfId="1" applyFont="1" applyFill="1" applyBorder="1" applyAlignment="1">
      <alignment horizontal="center" vertical="center"/>
    </xf>
    <xf numFmtId="43" fontId="0" fillId="0" borderId="0" xfId="1" applyFont="1" applyAlignment="1">
      <alignment wrapText="1"/>
    </xf>
    <xf numFmtId="43" fontId="0" fillId="2" borderId="0" xfId="1" applyFont="1" applyFill="1"/>
    <xf numFmtId="164" fontId="4" fillId="2" borderId="24" xfId="1" applyNumberFormat="1" applyFont="1" applyFill="1" applyBorder="1"/>
    <xf numFmtId="164" fontId="0" fillId="0" borderId="5" xfId="1" applyNumberFormat="1" applyFont="1" applyBorder="1"/>
    <xf numFmtId="0" fontId="0" fillId="0" borderId="22" xfId="0" applyBorder="1"/>
    <xf numFmtId="43" fontId="11" fillId="0" borderId="0" xfId="1" applyFont="1" applyAlignment="1">
      <alignment horizontal="center"/>
    </xf>
    <xf numFmtId="43" fontId="11" fillId="0" borderId="0" xfId="1" applyFont="1" applyFill="1" applyAlignment="1">
      <alignment horizontal="center"/>
    </xf>
    <xf numFmtId="43" fontId="0" fillId="21" borderId="0" xfId="1" applyFont="1" applyFill="1"/>
    <xf numFmtId="43" fontId="0" fillId="21" borderId="0" xfId="0" applyNumberFormat="1" applyFill="1"/>
    <xf numFmtId="0" fontId="0" fillId="3" borderId="0" xfId="0" applyFill="1"/>
    <xf numFmtId="0" fontId="3" fillId="17" borderId="0" xfId="0" applyFont="1" applyFill="1" applyAlignment="1">
      <alignment wrapText="1"/>
    </xf>
    <xf numFmtId="0" fontId="3" fillId="1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23" fillId="0" borderId="0" xfId="0" applyFont="1" applyAlignment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left" vertical="center"/>
    </xf>
    <xf numFmtId="8" fontId="0" fillId="0" borderId="0" xfId="2" applyNumberFormat="1" applyFon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23" fillId="0" borderId="0" xfId="0" applyNumberFormat="1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14" fontId="23" fillId="0" borderId="0" xfId="0" applyNumberFormat="1" applyFont="1" applyAlignment="1">
      <alignment horizontal="left" vertical="center"/>
    </xf>
    <xf numFmtId="6" fontId="23" fillId="0" borderId="0" xfId="0" applyNumberFormat="1" applyFont="1" applyAlignment="1">
      <alignment horizontal="left" vertical="center"/>
    </xf>
    <xf numFmtId="0" fontId="23" fillId="0" borderId="0" xfId="0" applyFont="1"/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3" fillId="8" borderId="0" xfId="0" applyFont="1" applyFill="1"/>
    <xf numFmtId="0" fontId="3" fillId="13" borderId="16" xfId="0" applyFont="1" applyFill="1" applyBorder="1" applyAlignment="1">
      <alignment horizontal="left"/>
    </xf>
    <xf numFmtId="164" fontId="0" fillId="0" borderId="23" xfId="1" applyNumberFormat="1" applyFont="1" applyBorder="1"/>
    <xf numFmtId="0" fontId="3" fillId="13" borderId="7" xfId="0" applyFont="1" applyFill="1" applyBorder="1" applyAlignment="1">
      <alignment horizontal="left" vertical="center"/>
    </xf>
    <xf numFmtId="164" fontId="0" fillId="0" borderId="6" xfId="1" applyNumberFormat="1" applyFont="1" applyBorder="1"/>
    <xf numFmtId="0" fontId="3" fillId="13" borderId="17" xfId="0" applyFont="1" applyFill="1" applyBorder="1" applyAlignment="1">
      <alignment horizontal="left" vertical="center"/>
    </xf>
    <xf numFmtId="164" fontId="0" fillId="0" borderId="22" xfId="1" applyNumberFormat="1" applyFont="1" applyBorder="1"/>
    <xf numFmtId="0" fontId="3" fillId="0" borderId="16" xfId="0" applyFont="1" applyBorder="1"/>
    <xf numFmtId="0" fontId="3" fillId="0" borderId="7" xfId="0" applyFont="1" applyBorder="1"/>
    <xf numFmtId="0" fontId="3" fillId="0" borderId="17" xfId="0" applyFont="1" applyBorder="1"/>
    <xf numFmtId="0" fontId="3" fillId="13" borderId="20" xfId="0" applyFont="1" applyFill="1" applyBorder="1" applyAlignment="1">
      <alignment horizontal="left" vertical="center"/>
    </xf>
    <xf numFmtId="0" fontId="3" fillId="13" borderId="16" xfId="0" applyFont="1" applyFill="1" applyBorder="1" applyAlignment="1">
      <alignment horizontal="left" vertical="center"/>
    </xf>
    <xf numFmtId="0" fontId="3" fillId="13" borderId="7" xfId="0" applyFont="1" applyFill="1" applyBorder="1" applyAlignment="1">
      <alignment horizontal="left"/>
    </xf>
    <xf numFmtId="0" fontId="3" fillId="13" borderId="17" xfId="0" applyFont="1" applyFill="1" applyBorder="1" applyAlignment="1">
      <alignment horizontal="left"/>
    </xf>
    <xf numFmtId="9" fontId="0" fillId="0" borderId="22" xfId="5" applyFont="1" applyBorder="1"/>
    <xf numFmtId="0" fontId="3" fillId="13" borderId="5" xfId="0" applyFont="1" applyFill="1" applyBorder="1"/>
    <xf numFmtId="0" fontId="0" fillId="0" borderId="6" xfId="0" applyBorder="1"/>
    <xf numFmtId="0" fontId="3" fillId="13" borderId="23" xfId="0" applyFont="1" applyFill="1" applyBorder="1" applyAlignment="1">
      <alignment horizontal="left" vertical="center"/>
    </xf>
    <xf numFmtId="164" fontId="0" fillId="0" borderId="23" xfId="0" applyNumberFormat="1" applyBorder="1"/>
    <xf numFmtId="0" fontId="3" fillId="13" borderId="6" xfId="0" applyFont="1" applyFill="1" applyBorder="1" applyAlignment="1">
      <alignment horizontal="left" vertical="center"/>
    </xf>
    <xf numFmtId="164" fontId="0" fillId="0" borderId="6" xfId="0" applyNumberFormat="1" applyBorder="1"/>
    <xf numFmtId="0" fontId="3" fillId="13" borderId="22" xfId="0" applyFont="1" applyFill="1" applyBorder="1" applyAlignment="1">
      <alignment horizontal="left" vertical="center"/>
    </xf>
    <xf numFmtId="164" fontId="0" fillId="0" borderId="22" xfId="0" applyNumberFormat="1" applyBorder="1"/>
    <xf numFmtId="0" fontId="3" fillId="15" borderId="28" xfId="0" applyFont="1" applyFill="1" applyBorder="1" applyAlignment="1">
      <alignment wrapText="1"/>
    </xf>
    <xf numFmtId="0" fontId="5" fillId="0" borderId="29" xfId="0" applyFont="1" applyBorder="1"/>
    <xf numFmtId="0" fontId="0" fillId="0" borderId="30" xfId="0" applyBorder="1"/>
    <xf numFmtId="0" fontId="3" fillId="5" borderId="5" xfId="0" applyFont="1" applyFill="1" applyBorder="1"/>
    <xf numFmtId="164" fontId="0" fillId="5" borderId="23" xfId="1" applyNumberFormat="1" applyFont="1" applyFill="1" applyBorder="1"/>
    <xf numFmtId="164" fontId="0" fillId="5" borderId="6" xfId="1" applyNumberFormat="1" applyFont="1" applyFill="1" applyBorder="1"/>
    <xf numFmtId="164" fontId="0" fillId="5" borderId="22" xfId="1" applyNumberFormat="1" applyFont="1" applyFill="1" applyBorder="1"/>
    <xf numFmtId="167" fontId="0" fillId="0" borderId="18" xfId="0" applyNumberFormat="1" applyBorder="1"/>
    <xf numFmtId="0" fontId="0" fillId="0" borderId="26" xfId="0" applyBorder="1"/>
    <xf numFmtId="8" fontId="3" fillId="0" borderId="8" xfId="0" applyNumberFormat="1" applyFont="1" applyBorder="1"/>
    <xf numFmtId="0" fontId="0" fillId="0" borderId="8" xfId="0" applyBorder="1"/>
    <xf numFmtId="0" fontId="0" fillId="0" borderId="27" xfId="0" applyBorder="1"/>
    <xf numFmtId="164" fontId="0" fillId="0" borderId="0" xfId="1" applyNumberFormat="1" applyFont="1" applyFill="1" applyBorder="1"/>
    <xf numFmtId="0" fontId="2" fillId="22" borderId="31" xfId="0" applyFont="1" applyFill="1" applyBorder="1" applyAlignment="1">
      <alignment wrapText="1"/>
    </xf>
    <xf numFmtId="0" fontId="2" fillId="22" borderId="32" xfId="0" applyFont="1" applyFill="1" applyBorder="1" applyAlignment="1">
      <alignment wrapText="1"/>
    </xf>
    <xf numFmtId="0" fontId="2" fillId="0" borderId="0" xfId="0" applyFont="1" applyAlignment="1">
      <alignment wrapText="1"/>
    </xf>
    <xf numFmtId="9" fontId="15" fillId="22" borderId="32" xfId="5" applyFont="1" applyFill="1" applyBorder="1" applyAlignment="1">
      <alignment horizontal="center" wrapText="1"/>
    </xf>
    <xf numFmtId="0" fontId="2" fillId="22" borderId="32" xfId="0" applyFont="1" applyFill="1" applyBorder="1" applyAlignment="1">
      <alignment horizontal="center" wrapText="1"/>
    </xf>
    <xf numFmtId="164" fontId="0" fillId="0" borderId="33" xfId="1" applyNumberFormat="1" applyFont="1" applyBorder="1"/>
    <xf numFmtId="43" fontId="3" fillId="19" borderId="34" xfId="1" applyFont="1" applyFill="1" applyBorder="1" applyAlignment="1">
      <alignment horizontal="center"/>
    </xf>
    <xf numFmtId="0" fontId="2" fillId="22" borderId="28" xfId="0" applyFont="1" applyFill="1" applyBorder="1" applyAlignment="1">
      <alignment wrapText="1"/>
    </xf>
    <xf numFmtId="0" fontId="0" fillId="0" borderId="0" xfId="0" applyAlignment="1">
      <alignment horizontal="right" wrapText="1"/>
    </xf>
    <xf numFmtId="164" fontId="3" fillId="0" borderId="25" xfId="1" applyNumberFormat="1" applyFont="1" applyFill="1" applyBorder="1"/>
    <xf numFmtId="164" fontId="3" fillId="0" borderId="25" xfId="1" applyNumberFormat="1" applyFont="1" applyBorder="1"/>
    <xf numFmtId="164" fontId="4" fillId="3" borderId="35" xfId="1" applyNumberFormat="1" applyFont="1" applyFill="1" applyBorder="1"/>
    <xf numFmtId="164" fontId="3" fillId="0" borderId="0" xfId="1" applyNumberFormat="1" applyFont="1" applyFill="1" applyBorder="1"/>
    <xf numFmtId="164" fontId="3" fillId="0" borderId="0" xfId="1" applyNumberFormat="1" applyFont="1" applyBorder="1"/>
    <xf numFmtId="0" fontId="5" fillId="4" borderId="0" xfId="0" applyFont="1" applyFill="1"/>
    <xf numFmtId="164" fontId="3" fillId="0" borderId="0" xfId="1" applyNumberFormat="1" applyFont="1" applyFill="1" applyAlignment="1">
      <alignment horizontal="center" wrapText="1"/>
    </xf>
    <xf numFmtId="0" fontId="24" fillId="0" borderId="0" xfId="0" applyFont="1"/>
    <xf numFmtId="14" fontId="23" fillId="0" borderId="0" xfId="0" applyNumberFormat="1" applyFont="1" applyAlignment="1" applyProtection="1">
      <alignment horizontal="left" vertical="center" wrapText="1"/>
      <protection locked="0"/>
    </xf>
    <xf numFmtId="164" fontId="0" fillId="0" borderId="6" xfId="1" applyNumberFormat="1" applyFont="1" applyFill="1" applyBorder="1"/>
    <xf numFmtId="0" fontId="3" fillId="15" borderId="2" xfId="0" applyFont="1" applyFill="1" applyBorder="1" applyAlignment="1">
      <alignment wrapText="1"/>
    </xf>
    <xf numFmtId="0" fontId="0" fillId="0" borderId="36" xfId="0" applyBorder="1"/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 vertical="center" readingOrder="1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0" fontId="0" fillId="0" borderId="0" xfId="5" applyNumberFormat="1" applyFont="1"/>
    <xf numFmtId="164" fontId="3" fillId="0" borderId="0" xfId="1" applyNumberFormat="1" applyFont="1" applyAlignment="1">
      <alignment horizontal="center" wrapText="1"/>
    </xf>
    <xf numFmtId="14" fontId="0" fillId="0" borderId="0" xfId="0" applyNumberFormat="1"/>
    <xf numFmtId="43" fontId="3" fillId="0" borderId="0" xfId="1" applyFont="1" applyFill="1"/>
    <xf numFmtId="0" fontId="0" fillId="21" borderId="0" xfId="0" applyFill="1"/>
    <xf numFmtId="43" fontId="0" fillId="21" borderId="22" xfId="1" applyFont="1" applyFill="1" applyBorder="1"/>
    <xf numFmtId="43" fontId="0" fillId="21" borderId="34" xfId="1" applyFont="1" applyFill="1" applyBorder="1"/>
    <xf numFmtId="43" fontId="0" fillId="21" borderId="33" xfId="1" applyFont="1" applyFill="1" applyBorder="1"/>
    <xf numFmtId="43" fontId="0" fillId="21" borderId="37" xfId="1" applyFont="1" applyFill="1" applyBorder="1"/>
    <xf numFmtId="0" fontId="3" fillId="5" borderId="0" xfId="0" applyFont="1" applyFill="1" applyAlignment="1">
      <alignment wrapText="1"/>
    </xf>
    <xf numFmtId="165" fontId="0" fillId="5" borderId="0" xfId="0" applyNumberFormat="1" applyFill="1" applyAlignment="1">
      <alignment horizontal="left" vertical="center"/>
    </xf>
    <xf numFmtId="164" fontId="0" fillId="5" borderId="0" xfId="1" applyNumberFormat="1" applyFont="1" applyFill="1" applyAlignment="1">
      <alignment wrapText="1"/>
    </xf>
    <xf numFmtId="0" fontId="27" fillId="23" borderId="0" xfId="0" applyFont="1" applyFill="1"/>
    <xf numFmtId="164" fontId="28" fillId="24" borderId="0" xfId="1" applyNumberFormat="1" applyFont="1" applyFill="1" applyAlignment="1">
      <alignment horizontal="center"/>
    </xf>
    <xf numFmtId="0" fontId="0" fillId="23" borderId="0" xfId="0" applyFill="1"/>
    <xf numFmtId="0" fontId="29" fillId="0" borderId="0" xfId="0" applyFont="1"/>
    <xf numFmtId="0" fontId="30" fillId="0" borderId="0" xfId="0" applyFont="1"/>
    <xf numFmtId="164" fontId="3" fillId="0" borderId="0" xfId="1" applyNumberFormat="1" applyFont="1"/>
    <xf numFmtId="0" fontId="19" fillId="0" borderId="0" xfId="0" applyFont="1" applyAlignment="1">
      <alignment horizontal="left" vertical="center" wrapText="1"/>
    </xf>
    <xf numFmtId="43" fontId="3" fillId="0" borderId="0" xfId="1" applyFont="1"/>
    <xf numFmtId="164" fontId="0" fillId="0" borderId="0" xfId="1" applyNumberFormat="1" applyFont="1" applyAlignment="1">
      <alignment horizontal="center"/>
    </xf>
    <xf numFmtId="164" fontId="3" fillId="5" borderId="0" xfId="1" applyNumberFormat="1" applyFont="1" applyFill="1" applyAlignment="1">
      <alignment wrapText="1"/>
    </xf>
    <xf numFmtId="164" fontId="3" fillId="5" borderId="0" xfId="1" applyNumberFormat="1" applyFont="1" applyFill="1"/>
    <xf numFmtId="0" fontId="0" fillId="0" borderId="5" xfId="0" applyBorder="1"/>
    <xf numFmtId="0" fontId="0" fillId="4" borderId="5" xfId="0" applyFill="1" applyBorder="1"/>
    <xf numFmtId="164" fontId="3" fillId="0" borderId="5" xfId="1" applyNumberFormat="1" applyFont="1" applyBorder="1" applyAlignment="1">
      <alignment horizontal="center"/>
    </xf>
    <xf numFmtId="164" fontId="0" fillId="0" borderId="5" xfId="0" applyNumberFormat="1" applyBorder="1"/>
    <xf numFmtId="164" fontId="0" fillId="26" borderId="5" xfId="1" applyNumberFormat="1" applyFont="1" applyFill="1" applyBorder="1"/>
    <xf numFmtId="164" fontId="0" fillId="26" borderId="5" xfId="0" applyNumberFormat="1" applyFill="1" applyBorder="1"/>
    <xf numFmtId="0" fontId="27" fillId="21" borderId="0" xfId="0" applyFont="1" applyFill="1"/>
    <xf numFmtId="0" fontId="33" fillId="0" borderId="0" xfId="0" applyFont="1"/>
    <xf numFmtId="43" fontId="3" fillId="0" borderId="0" xfId="0" applyNumberFormat="1" applyFont="1"/>
    <xf numFmtId="0" fontId="34" fillId="0" borderId="0" xfId="0" applyFont="1"/>
    <xf numFmtId="43" fontId="3" fillId="0" borderId="38" xfId="1" applyFont="1" applyBorder="1"/>
    <xf numFmtId="0" fontId="32" fillId="0" borderId="5" xfId="6" applyFont="1" applyBorder="1" applyAlignment="1">
      <alignment horizontal="center" wrapText="1"/>
    </xf>
    <xf numFmtId="164" fontId="1" fillId="0" borderId="5" xfId="1" applyNumberFormat="1" applyFont="1" applyBorder="1"/>
    <xf numFmtId="164" fontId="3" fillId="0" borderId="5" xfId="1" applyNumberFormat="1" applyFont="1" applyBorder="1"/>
    <xf numFmtId="0" fontId="35" fillId="6" borderId="5" xfId="0" applyFont="1" applyFill="1" applyBorder="1"/>
    <xf numFmtId="43" fontId="3" fillId="0" borderId="5" xfId="0" applyNumberFormat="1" applyFont="1" applyBorder="1"/>
    <xf numFmtId="0" fontId="0" fillId="6" borderId="5" xfId="0" applyFill="1" applyBorder="1"/>
    <xf numFmtId="0" fontId="27" fillId="4" borderId="5" xfId="0" applyFont="1" applyFill="1" applyBorder="1"/>
    <xf numFmtId="0" fontId="32" fillId="4" borderId="5" xfId="6" applyFont="1" applyFill="1" applyBorder="1" applyAlignment="1">
      <alignment horizontal="center" wrapText="1"/>
    </xf>
    <xf numFmtId="164" fontId="0" fillId="4" borderId="5" xfId="1" applyNumberFormat="1" applyFont="1" applyFill="1" applyBorder="1"/>
    <xf numFmtId="164" fontId="3" fillId="4" borderId="5" xfId="1" applyNumberFormat="1" applyFont="1" applyFill="1" applyBorder="1"/>
    <xf numFmtId="164" fontId="0" fillId="0" borderId="0" xfId="1" applyNumberFormat="1" applyFont="1" applyBorder="1"/>
    <xf numFmtId="0" fontId="36" fillId="0" borderId="5" xfId="6" applyFont="1" applyBorder="1" applyAlignment="1">
      <alignment horizontal="center" wrapText="1"/>
    </xf>
    <xf numFmtId="0" fontId="19" fillId="0" borderId="5" xfId="0" applyFont="1" applyBorder="1"/>
    <xf numFmtId="164" fontId="19" fillId="0" borderId="5" xfId="1" applyNumberFormat="1" applyFont="1" applyBorder="1"/>
    <xf numFmtId="164" fontId="35" fillId="0" borderId="5" xfId="1" applyNumberFormat="1" applyFont="1" applyBorder="1"/>
    <xf numFmtId="0" fontId="3" fillId="0" borderId="5" xfId="0" applyFont="1" applyBorder="1" applyAlignment="1">
      <alignment horizontal="right"/>
    </xf>
    <xf numFmtId="164" fontId="0" fillId="6" borderId="5" xfId="0" applyNumberFormat="1" applyFill="1" applyBorder="1"/>
    <xf numFmtId="164" fontId="0" fillId="6" borderId="0" xfId="1" applyNumberFormat="1" applyFont="1" applyFill="1"/>
    <xf numFmtId="0" fontId="0" fillId="6" borderId="0" xfId="0" applyFill="1"/>
    <xf numFmtId="0" fontId="0" fillId="25" borderId="5" xfId="0" applyFill="1" applyBorder="1"/>
    <xf numFmtId="0" fontId="19" fillId="0" borderId="0" xfId="0" applyFont="1"/>
    <xf numFmtId="0" fontId="27" fillId="2" borderId="0" xfId="0" applyFont="1" applyFill="1"/>
    <xf numFmtId="0" fontId="9" fillId="0" borderId="39" xfId="0" applyFont="1" applyBorder="1"/>
    <xf numFmtId="43" fontId="0" fillId="0" borderId="23" xfId="1" applyFont="1" applyBorder="1"/>
    <xf numFmtId="43" fontId="0" fillId="0" borderId="23" xfId="0" applyNumberFormat="1" applyBorder="1"/>
    <xf numFmtId="0" fontId="18" fillId="0" borderId="23" xfId="3" applyFont="1" applyBorder="1" applyAlignment="1">
      <alignment horizontal="center"/>
    </xf>
    <xf numFmtId="43" fontId="17" fillId="0" borderId="22" xfId="1" applyFont="1" applyBorder="1"/>
    <xf numFmtId="43" fontId="17" fillId="0" borderId="22" xfId="0" applyNumberFormat="1" applyFont="1" applyBorder="1"/>
    <xf numFmtId="0" fontId="18" fillId="0" borderId="22" xfId="3" applyFont="1" applyBorder="1" applyAlignment="1">
      <alignment horizontal="center"/>
    </xf>
    <xf numFmtId="0" fontId="0" fillId="0" borderId="2" xfId="0" applyBorder="1"/>
    <xf numFmtId="0" fontId="9" fillId="5" borderId="40" xfId="0" applyFont="1" applyFill="1" applyBorder="1"/>
    <xf numFmtId="43" fontId="17" fillId="5" borderId="41" xfId="1" applyFont="1" applyFill="1" applyBorder="1"/>
    <xf numFmtId="43" fontId="17" fillId="5" borderId="41" xfId="0" applyNumberFormat="1" applyFont="1" applyFill="1" applyBorder="1"/>
    <xf numFmtId="0" fontId="18" fillId="5" borderId="41" xfId="3" applyFont="1" applyFill="1" applyBorder="1" applyAlignment="1">
      <alignment horizontal="center"/>
    </xf>
    <xf numFmtId="0" fontId="19" fillId="5" borderId="42" xfId="0" applyFont="1" applyFill="1" applyBorder="1"/>
    <xf numFmtId="0" fontId="0" fillId="0" borderId="43" xfId="0" applyBorder="1"/>
    <xf numFmtId="43" fontId="0" fillId="5" borderId="0" xfId="1" applyFont="1" applyFill="1" applyBorder="1"/>
    <xf numFmtId="0" fontId="0" fillId="5" borderId="43" xfId="0" applyFill="1" applyBorder="1"/>
    <xf numFmtId="43" fontId="0" fillId="5" borderId="0" xfId="0" applyNumberFormat="1" applyFill="1"/>
    <xf numFmtId="49" fontId="22" fillId="0" borderId="43" xfId="0" applyNumberFormat="1" applyFont="1" applyBorder="1"/>
    <xf numFmtId="0" fontId="0" fillId="0" borderId="44" xfId="0" applyBorder="1"/>
    <xf numFmtId="0" fontId="9" fillId="0" borderId="45" xfId="0" applyFont="1" applyBorder="1"/>
    <xf numFmtId="43" fontId="17" fillId="0" borderId="46" xfId="1" applyFont="1" applyBorder="1"/>
    <xf numFmtId="43" fontId="17" fillId="0" borderId="46" xfId="0" applyNumberFormat="1" applyFont="1" applyBorder="1"/>
    <xf numFmtId="0" fontId="18" fillId="0" borderId="46" xfId="3" applyFont="1" applyBorder="1" applyAlignment="1">
      <alignment horizontal="center"/>
    </xf>
    <xf numFmtId="49" fontId="22" fillId="0" borderId="47" xfId="0" applyNumberFormat="1" applyFont="1" applyBorder="1"/>
    <xf numFmtId="165" fontId="0" fillId="0" borderId="0" xfId="0" applyNumberFormat="1"/>
    <xf numFmtId="164" fontId="19" fillId="0" borderId="0" xfId="0" applyNumberFormat="1" applyFont="1" applyAlignment="1">
      <alignment horizontal="center" vertical="center" readingOrder="1"/>
    </xf>
    <xf numFmtId="0" fontId="37" fillId="0" borderId="0" xfId="0" applyFont="1"/>
    <xf numFmtId="164" fontId="22" fillId="5" borderId="0" xfId="1" applyNumberFormat="1" applyFont="1" applyFill="1"/>
    <xf numFmtId="164" fontId="22" fillId="5" borderId="0" xfId="1" applyNumberFormat="1" applyFont="1" applyFill="1" applyAlignment="1">
      <alignment wrapText="1"/>
    </xf>
    <xf numFmtId="165" fontId="22" fillId="5" borderId="0" xfId="0" applyNumberFormat="1" applyFont="1" applyFill="1" applyAlignment="1">
      <alignment horizontal="left" vertical="center"/>
    </xf>
    <xf numFmtId="164" fontId="22" fillId="0" borderId="0" xfId="1" applyNumberFormat="1" applyFont="1"/>
    <xf numFmtId="0" fontId="22" fillId="0" borderId="0" xfId="0" applyFont="1" applyAlignment="1" applyProtection="1">
      <alignment horizontal="left" vertical="center"/>
      <protection locked="0"/>
    </xf>
    <xf numFmtId="165" fontId="22" fillId="0" borderId="0" xfId="0" applyNumberFormat="1" applyFont="1" applyAlignment="1">
      <alignment horizontal="left" vertical="center"/>
    </xf>
    <xf numFmtId="165" fontId="22" fillId="5" borderId="0" xfId="0" applyNumberFormat="1" applyFont="1" applyFill="1" applyProtection="1">
      <protection locked="0"/>
    </xf>
    <xf numFmtId="164" fontId="0" fillId="0" borderId="0" xfId="1" applyNumberFormat="1" applyFont="1" applyFill="1" applyBorder="1" applyAlignment="1">
      <alignment horizontal="center"/>
    </xf>
    <xf numFmtId="0" fontId="3" fillId="8" borderId="0" xfId="0" applyFont="1" applyFill="1" applyAlignment="1">
      <alignment wrapText="1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164" fontId="22" fillId="4" borderId="5" xfId="1" applyNumberFormat="1" applyFont="1" applyFill="1" applyBorder="1"/>
    <xf numFmtId="9" fontId="3" fillId="0" borderId="0" xfId="5" applyFont="1" applyFill="1" applyAlignment="1">
      <alignment horizontal="center"/>
    </xf>
    <xf numFmtId="9" fontId="3" fillId="0" borderId="0" xfId="5" applyFont="1" applyAlignment="1">
      <alignment horizontal="center"/>
    </xf>
    <xf numFmtId="164" fontId="11" fillId="0" borderId="0" xfId="1" applyNumberFormat="1" applyFont="1"/>
    <xf numFmtId="0" fontId="0" fillId="27" borderId="0" xfId="0" applyFill="1"/>
    <xf numFmtId="165" fontId="3" fillId="0" borderId="0" xfId="0" applyNumberFormat="1" applyFont="1"/>
    <xf numFmtId="164" fontId="4" fillId="2" borderId="0" xfId="1" applyNumberFormat="1" applyFont="1" applyFill="1" applyBorder="1"/>
    <xf numFmtId="164" fontId="0" fillId="17" borderId="0" xfId="1" applyNumberFormat="1" applyFont="1" applyFill="1" applyAlignment="1">
      <alignment horizontal="center"/>
    </xf>
    <xf numFmtId="164" fontId="3" fillId="17" borderId="0" xfId="1" applyNumberFormat="1" applyFont="1" applyFill="1" applyAlignment="1">
      <alignment horizontal="center" wrapText="1"/>
    </xf>
    <xf numFmtId="164" fontId="3" fillId="0" borderId="15" xfId="1" applyNumberFormat="1" applyFont="1" applyFill="1" applyBorder="1" applyAlignment="1">
      <alignment horizontal="center"/>
    </xf>
    <xf numFmtId="164" fontId="5" fillId="0" borderId="0" xfId="1" applyNumberFormat="1" applyFont="1" applyFill="1" applyBorder="1"/>
    <xf numFmtId="9" fontId="3" fillId="0" borderId="14" xfId="5" applyFont="1" applyBorder="1"/>
    <xf numFmtId="9" fontId="1" fillId="0" borderId="0" xfId="5" applyFont="1"/>
    <xf numFmtId="9" fontId="3" fillId="0" borderId="15" xfId="5" applyFont="1" applyFill="1" applyBorder="1" applyAlignment="1">
      <alignment horizontal="center"/>
    </xf>
    <xf numFmtId="9" fontId="3" fillId="0" borderId="25" xfId="5" applyFont="1" applyBorder="1"/>
    <xf numFmtId="164" fontId="4" fillId="0" borderId="0" xfId="1" applyNumberFormat="1" applyFont="1" applyFill="1" applyBorder="1"/>
    <xf numFmtId="9" fontId="3" fillId="0" borderId="0" xfId="5" applyFont="1" applyBorder="1"/>
    <xf numFmtId="9" fontId="3" fillId="0" borderId="0" xfId="5" applyFont="1" applyFill="1" applyBorder="1" applyAlignment="1">
      <alignment horizontal="center"/>
    </xf>
    <xf numFmtId="0" fontId="11" fillId="0" borderId="0" xfId="0" applyFont="1" applyAlignment="1">
      <alignment horizontal="center" vertical="center" readingOrder="1"/>
    </xf>
  </cellXfs>
  <cellStyles count="7">
    <cellStyle name="Comma" xfId="1" builtinId="3"/>
    <cellStyle name="Comma 10 17" xfId="4" xr:uid="{541ACD42-F083-47CD-A45B-623922D22BA1}"/>
    <cellStyle name="Currency" xfId="2" builtinId="4"/>
    <cellStyle name="HeaderCellStyle" xfId="6" xr:uid="{5926E429-6E2E-4C96-971C-5F55CC92B3DF}"/>
    <cellStyle name="Normal" xfId="0" builtinId="0"/>
    <cellStyle name="Normal 2" xfId="3" xr:uid="{34A0FADD-E9D4-4884-993F-D3B5A62A5B15}"/>
    <cellStyle name="Percent" xfId="5" builtinId="5"/>
  </cellStyles>
  <dxfs count="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vneet Sethi" id="{8B070002-FA2A-4963-84DD-0BD1F9DD8ED3}" userId="S::ssethi@smartmgnt.com::777e7c94-504e-4041-87b8-d992d5a0f1e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T4" dT="2026-04-28T19:12:50.75" personId="{8B070002-FA2A-4963-84DD-0BD1F9DD8ED3}" id="{2B384E16-1AA0-48A0-9178-3DAF8E3F79FB}">
    <text>Includes discretionary incr</text>
  </threadedComment>
  <threadedComment ref="V9" dT="2026-04-28T19:23:24.79" personId="{8B070002-FA2A-4963-84DD-0BD1F9DD8ED3}" id="{1BB34D6D-F2BB-491D-A731-530FEA88216C}">
    <text xml:space="preserve">5000 extra for tri-campus support, avoids hiring another individual </text>
  </threadedComment>
  <threadedComment ref="G20" dT="2026-04-28T19:32:03.77" personId="{8B070002-FA2A-4963-84DD-0BD1F9DD8ED3}" id="{A2228740-0E75-4C20-90E9-2FEBCC57842B}">
    <text>If he doesn’t receive his license, he will get paid less as a para … increased budget for placeholder</text>
  </threadedComment>
  <threadedComment ref="T28" dT="2026-04-28T19:36:42.94" personId="{8B070002-FA2A-4963-84DD-0BD1F9DD8ED3}" id="{472BA249-6397-407B-B1EC-68AD6527F2D4}">
    <text>Tri-campus support. Includes travel</text>
  </threadedComment>
</ThreadedComment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B4D1-A36D-4DEA-8CF7-69F5874FB61A}">
  <dimension ref="B1:E5"/>
  <sheetViews>
    <sheetView workbookViewId="0"/>
  </sheetViews>
  <sheetFormatPr defaultColWidth="13.81640625" defaultRowHeight="14.5" x14ac:dyDescent="0.35"/>
  <cols>
    <col min="2" max="2" width="39.1796875" customWidth="1"/>
  </cols>
  <sheetData>
    <row r="1" spans="2:5" ht="32.5" customHeight="1" x14ac:dyDescent="0.35">
      <c r="B1" s="23" t="s">
        <v>351</v>
      </c>
      <c r="C1" s="24" t="s">
        <v>350</v>
      </c>
      <c r="D1" s="24"/>
    </row>
    <row r="2" spans="2:5" x14ac:dyDescent="0.35">
      <c r="B2" s="19" t="s">
        <v>349</v>
      </c>
      <c r="C2" s="20">
        <f>368-C3-C4</f>
        <v>262</v>
      </c>
      <c r="D2" s="21"/>
    </row>
    <row r="3" spans="2:5" x14ac:dyDescent="0.35">
      <c r="B3" s="19" t="s">
        <v>348</v>
      </c>
      <c r="C3" s="20">
        <v>66</v>
      </c>
      <c r="D3" s="21"/>
      <c r="E3" t="s">
        <v>360</v>
      </c>
    </row>
    <row r="4" spans="2:5" x14ac:dyDescent="0.35">
      <c r="B4" s="19" t="s">
        <v>384</v>
      </c>
      <c r="C4" s="20">
        <v>40</v>
      </c>
      <c r="D4" s="21"/>
      <c r="E4" t="s">
        <v>360</v>
      </c>
    </row>
    <row r="5" spans="2:5" x14ac:dyDescent="0.35">
      <c r="B5" s="22" t="s">
        <v>0</v>
      </c>
      <c r="C5" s="111">
        <f>SUM(C2:C4)</f>
        <v>368</v>
      </c>
      <c r="D5" s="11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FEFA3-5B21-4FF5-9DBF-4F19ADA280EE}">
  <dimension ref="A1:D5"/>
  <sheetViews>
    <sheetView workbookViewId="0"/>
  </sheetViews>
  <sheetFormatPr defaultRowHeight="14.5" x14ac:dyDescent="0.35"/>
  <cols>
    <col min="1" max="1" width="18.81640625" style="82" customWidth="1"/>
    <col min="2" max="2" width="14.54296875" customWidth="1"/>
    <col min="3" max="3" width="32.81640625" customWidth="1"/>
    <col min="4" max="4" width="41.1796875" customWidth="1"/>
  </cols>
  <sheetData>
    <row r="1" spans="1:4" x14ac:dyDescent="0.35">
      <c r="B1" s="113"/>
    </row>
    <row r="2" spans="1:4" x14ac:dyDescent="0.35">
      <c r="A2" s="114"/>
      <c r="B2" s="115"/>
    </row>
    <row r="3" spans="1:4" x14ac:dyDescent="0.35">
      <c r="B3" s="82"/>
      <c r="C3" s="82"/>
      <c r="D3" s="82"/>
    </row>
    <row r="4" spans="1:4" x14ac:dyDescent="0.35">
      <c r="A4" s="157"/>
      <c r="B4" s="180"/>
      <c r="C4" s="93"/>
      <c r="D4" s="181"/>
    </row>
    <row r="5" spans="1:4" x14ac:dyDescent="0.35">
      <c r="A5" s="159"/>
      <c r="B5" s="182"/>
      <c r="C5" s="183"/>
      <c r="D5" s="18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3B38-1C52-4375-9E22-4D1CF849930B}">
  <dimension ref="A1:J96"/>
  <sheetViews>
    <sheetView workbookViewId="0"/>
  </sheetViews>
  <sheetFormatPr defaultRowHeight="14.5" x14ac:dyDescent="0.35"/>
  <cols>
    <col min="1" max="1" width="17.81640625" bestFit="1" customWidth="1"/>
    <col min="2" max="2" width="16.1796875" bestFit="1" customWidth="1"/>
    <col min="3" max="3" width="10.1796875" bestFit="1" customWidth="1"/>
    <col min="4" max="4" width="11" bestFit="1" customWidth="1"/>
    <col min="7" max="7" width="16.81640625" bestFit="1" customWidth="1"/>
    <col min="9" max="9" width="9.81640625" bestFit="1" customWidth="1"/>
  </cols>
  <sheetData>
    <row r="1" spans="1:10" x14ac:dyDescent="0.35">
      <c r="A1" s="131" t="s">
        <v>2</v>
      </c>
      <c r="B1" s="131" t="s">
        <v>147</v>
      </c>
      <c r="C1" s="131" t="s">
        <v>148</v>
      </c>
      <c r="D1" s="131" t="s">
        <v>90</v>
      </c>
      <c r="G1" s="131" t="s">
        <v>2</v>
      </c>
      <c r="H1" s="131" t="s">
        <v>149</v>
      </c>
      <c r="I1" s="131" t="s">
        <v>150</v>
      </c>
      <c r="J1" s="131" t="s">
        <v>151</v>
      </c>
    </row>
    <row r="2" spans="1:10" x14ac:dyDescent="0.35">
      <c r="A2" t="s">
        <v>152</v>
      </c>
      <c r="B2" t="s">
        <v>96</v>
      </c>
      <c r="C2">
        <v>7560</v>
      </c>
      <c r="D2">
        <v>578.34</v>
      </c>
      <c r="G2" t="s">
        <v>153</v>
      </c>
      <c r="H2">
        <v>12400.289999999999</v>
      </c>
      <c r="I2">
        <v>0.05</v>
      </c>
      <c r="J2" t="s">
        <v>13</v>
      </c>
    </row>
    <row r="3" spans="1:10" x14ac:dyDescent="0.35">
      <c r="A3" t="s">
        <v>152</v>
      </c>
      <c r="B3" t="s">
        <v>97</v>
      </c>
      <c r="C3">
        <v>8000</v>
      </c>
      <c r="D3">
        <v>612</v>
      </c>
      <c r="G3" t="s">
        <v>154</v>
      </c>
      <c r="H3">
        <v>10131.720000000001</v>
      </c>
      <c r="I3">
        <v>6.3E-2</v>
      </c>
      <c r="J3" t="s">
        <v>13</v>
      </c>
    </row>
    <row r="4" spans="1:10" x14ac:dyDescent="0.35">
      <c r="A4" t="s">
        <v>152</v>
      </c>
      <c r="B4" t="s">
        <v>98</v>
      </c>
      <c r="C4">
        <v>10120</v>
      </c>
      <c r="G4" t="s">
        <v>152</v>
      </c>
      <c r="H4">
        <v>9921.65</v>
      </c>
      <c r="I4">
        <v>7.4999999999999997E-2</v>
      </c>
      <c r="J4" t="s">
        <v>13</v>
      </c>
    </row>
    <row r="5" spans="1:10" x14ac:dyDescent="0.35">
      <c r="A5" t="s">
        <v>152</v>
      </c>
      <c r="B5" t="s">
        <v>99</v>
      </c>
      <c r="C5">
        <v>31000</v>
      </c>
      <c r="D5">
        <v>2371.5</v>
      </c>
      <c r="G5" t="s">
        <v>155</v>
      </c>
      <c r="H5">
        <v>10115.259999999998</v>
      </c>
      <c r="I5">
        <v>0.08</v>
      </c>
      <c r="J5" t="s">
        <v>13</v>
      </c>
    </row>
    <row r="6" spans="1:10" x14ac:dyDescent="0.35">
      <c r="A6" t="s">
        <v>152</v>
      </c>
      <c r="B6" t="s">
        <v>100</v>
      </c>
      <c r="C6">
        <v>11750</v>
      </c>
      <c r="D6">
        <v>898.875</v>
      </c>
      <c r="G6" t="s">
        <v>156</v>
      </c>
      <c r="H6">
        <v>10148.449999999999</v>
      </c>
      <c r="I6">
        <v>7.0000000000000007E-2</v>
      </c>
      <c r="J6" t="s">
        <v>13</v>
      </c>
    </row>
    <row r="7" spans="1:10" x14ac:dyDescent="0.35">
      <c r="A7" t="s">
        <v>157</v>
      </c>
      <c r="B7" t="str">
        <f>B2</f>
        <v>Tutoring</v>
      </c>
      <c r="C7">
        <v>7560</v>
      </c>
      <c r="D7">
        <v>578.34</v>
      </c>
      <c r="G7" t="s">
        <v>158</v>
      </c>
      <c r="H7">
        <v>9952.57</v>
      </c>
      <c r="I7">
        <v>7.0000000000000007E-2</v>
      </c>
      <c r="J7" t="s">
        <v>13</v>
      </c>
    </row>
    <row r="8" spans="1:10" x14ac:dyDescent="0.35">
      <c r="A8" t="s">
        <v>157</v>
      </c>
      <c r="B8" t="str">
        <f t="shared" ref="B8:B71" si="0">B3</f>
        <v>Regular Stipends</v>
      </c>
      <c r="C8">
        <v>4600</v>
      </c>
      <c r="D8">
        <v>351.9</v>
      </c>
      <c r="G8" t="s">
        <v>159</v>
      </c>
      <c r="H8">
        <v>10056.669999999998</v>
      </c>
      <c r="I8">
        <v>0.1</v>
      </c>
      <c r="J8">
        <v>0.52</v>
      </c>
    </row>
    <row r="9" spans="1:10" x14ac:dyDescent="0.35">
      <c r="A9" t="s">
        <v>157</v>
      </c>
      <c r="B9" t="str">
        <f t="shared" si="0"/>
        <v>Summer PD</v>
      </c>
      <c r="C9">
        <v>14000</v>
      </c>
      <c r="D9">
        <v>1071</v>
      </c>
      <c r="G9" t="s">
        <v>160</v>
      </c>
      <c r="H9">
        <v>10020.219999999999</v>
      </c>
      <c r="I9">
        <v>0.08</v>
      </c>
      <c r="J9" t="s">
        <v>13</v>
      </c>
    </row>
    <row r="10" spans="1:10" x14ac:dyDescent="0.35">
      <c r="A10" t="s">
        <v>157</v>
      </c>
      <c r="B10" t="str">
        <f t="shared" si="0"/>
        <v>Summer School</v>
      </c>
      <c r="C10">
        <v>22600</v>
      </c>
      <c r="D10">
        <v>1728.8999999999999</v>
      </c>
      <c r="G10" t="s">
        <v>1</v>
      </c>
      <c r="H10">
        <v>9792.18</v>
      </c>
      <c r="I10">
        <v>0.08</v>
      </c>
      <c r="J10" t="s">
        <v>13</v>
      </c>
    </row>
    <row r="11" spans="1:10" x14ac:dyDescent="0.35">
      <c r="A11" t="s">
        <v>157</v>
      </c>
      <c r="B11" t="str">
        <f t="shared" si="0"/>
        <v>PTO Payout</v>
      </c>
      <c r="C11">
        <v>43533.58</v>
      </c>
      <c r="D11">
        <v>3330.3188700000001</v>
      </c>
      <c r="G11" t="s">
        <v>161</v>
      </c>
      <c r="H11">
        <v>9459.69</v>
      </c>
      <c r="I11">
        <v>2.5999999999999999E-2</v>
      </c>
      <c r="J11" t="s">
        <v>13</v>
      </c>
    </row>
    <row r="12" spans="1:10" x14ac:dyDescent="0.35">
      <c r="A12" t="s">
        <v>162</v>
      </c>
      <c r="B12" t="str">
        <f t="shared" si="0"/>
        <v>Tutoring</v>
      </c>
      <c r="C12">
        <v>4620</v>
      </c>
      <c r="D12">
        <v>353.43</v>
      </c>
      <c r="G12" t="s">
        <v>163</v>
      </c>
      <c r="H12">
        <v>9475.69</v>
      </c>
      <c r="I12">
        <v>5.5E-2</v>
      </c>
      <c r="J12">
        <v>0.69</v>
      </c>
    </row>
    <row r="13" spans="1:10" x14ac:dyDescent="0.35">
      <c r="A13" t="s">
        <v>162</v>
      </c>
      <c r="B13" t="str">
        <f t="shared" si="0"/>
        <v>Regular Stipends</v>
      </c>
      <c r="C13">
        <v>6100</v>
      </c>
      <c r="D13">
        <v>466.65</v>
      </c>
      <c r="G13" t="s">
        <v>164</v>
      </c>
      <c r="H13">
        <v>9266.26</v>
      </c>
      <c r="I13">
        <v>5.4199999999999998E-2</v>
      </c>
      <c r="J13" t="s">
        <v>13</v>
      </c>
    </row>
    <row r="14" spans="1:10" x14ac:dyDescent="0.35">
      <c r="A14" t="s">
        <v>162</v>
      </c>
      <c r="B14" t="str">
        <f t="shared" si="0"/>
        <v>Summer PD</v>
      </c>
      <c r="C14">
        <v>2640</v>
      </c>
      <c r="D14">
        <v>201.96</v>
      </c>
      <c r="G14" t="s">
        <v>165</v>
      </c>
      <c r="H14">
        <v>9110.1</v>
      </c>
      <c r="I14">
        <v>7.0000000000000007E-2</v>
      </c>
      <c r="J14" t="s">
        <v>13</v>
      </c>
    </row>
    <row r="15" spans="1:10" x14ac:dyDescent="0.35">
      <c r="A15" t="s">
        <v>162</v>
      </c>
      <c r="B15" t="str">
        <f t="shared" si="0"/>
        <v>Summer School</v>
      </c>
      <c r="C15" s="27">
        <v>11400</v>
      </c>
      <c r="D15" s="27">
        <v>872.1</v>
      </c>
      <c r="G15" t="s">
        <v>166</v>
      </c>
      <c r="H15">
        <v>8694.11</v>
      </c>
      <c r="I15">
        <v>5.1999999999999998E-2</v>
      </c>
      <c r="J15" t="s">
        <v>13</v>
      </c>
    </row>
    <row r="16" spans="1:10" x14ac:dyDescent="0.35">
      <c r="A16" t="s">
        <v>162</v>
      </c>
      <c r="B16" t="str">
        <f t="shared" si="0"/>
        <v>PTO Payout</v>
      </c>
      <c r="C16" s="27">
        <v>5000</v>
      </c>
      <c r="D16" s="27">
        <v>382.5</v>
      </c>
      <c r="G16" t="s">
        <v>167</v>
      </c>
      <c r="H16">
        <v>9155.130000000001</v>
      </c>
      <c r="I16">
        <v>0.06</v>
      </c>
      <c r="J16">
        <v>0.58000000000000007</v>
      </c>
    </row>
    <row r="17" spans="1:10" x14ac:dyDescent="0.35">
      <c r="A17" t="s">
        <v>153</v>
      </c>
      <c r="B17" t="str">
        <f t="shared" si="0"/>
        <v>Tutoring</v>
      </c>
      <c r="C17" s="27">
        <v>7560</v>
      </c>
      <c r="D17" s="27">
        <v>578.34</v>
      </c>
      <c r="G17" t="s">
        <v>168</v>
      </c>
      <c r="H17">
        <v>8911.59</v>
      </c>
      <c r="I17">
        <v>7.0000000000000007E-2</v>
      </c>
      <c r="J17" t="s">
        <v>13</v>
      </c>
    </row>
    <row r="18" spans="1:10" x14ac:dyDescent="0.35">
      <c r="A18" t="s">
        <v>153</v>
      </c>
      <c r="B18" t="str">
        <f t="shared" si="0"/>
        <v>Regular Stipends</v>
      </c>
      <c r="C18" s="27">
        <v>9500</v>
      </c>
      <c r="D18" s="27">
        <v>726.75</v>
      </c>
      <c r="G18" t="s">
        <v>169</v>
      </c>
      <c r="H18">
        <v>8993.27</v>
      </c>
      <c r="I18">
        <v>4.8000000000000001E-2</v>
      </c>
      <c r="J18" t="s">
        <v>13</v>
      </c>
    </row>
    <row r="19" spans="1:10" x14ac:dyDescent="0.35">
      <c r="A19" t="s">
        <v>153</v>
      </c>
      <c r="B19" t="str">
        <f t="shared" si="0"/>
        <v>Summer PD</v>
      </c>
      <c r="C19" s="27">
        <v>6160</v>
      </c>
      <c r="D19" s="27"/>
      <c r="G19" t="s">
        <v>170</v>
      </c>
      <c r="H19">
        <v>9585.66</v>
      </c>
      <c r="I19">
        <v>0.1</v>
      </c>
      <c r="J19">
        <v>0.48</v>
      </c>
    </row>
    <row r="20" spans="1:10" x14ac:dyDescent="0.35">
      <c r="A20" t="s">
        <v>153</v>
      </c>
      <c r="B20" t="str">
        <f t="shared" si="0"/>
        <v>Summer School</v>
      </c>
      <c r="C20" s="27">
        <v>28200</v>
      </c>
      <c r="D20" s="27">
        <v>2157.3000000000002</v>
      </c>
      <c r="G20" t="s">
        <v>171</v>
      </c>
      <c r="H20">
        <v>9327.2899999999991</v>
      </c>
      <c r="I20">
        <v>6.8000000000000005E-2</v>
      </c>
      <c r="J20" t="s">
        <v>13</v>
      </c>
    </row>
    <row r="21" spans="1:10" x14ac:dyDescent="0.35">
      <c r="A21" t="s">
        <v>153</v>
      </c>
      <c r="B21" t="str">
        <f t="shared" si="0"/>
        <v>PTO Payout</v>
      </c>
      <c r="C21" s="27">
        <v>30812.5</v>
      </c>
      <c r="D21" s="27">
        <v>2357.15625</v>
      </c>
      <c r="G21" t="s">
        <v>162</v>
      </c>
      <c r="H21">
        <v>8868.2200000000012</v>
      </c>
      <c r="I21">
        <v>0.06</v>
      </c>
      <c r="J21">
        <v>0.31</v>
      </c>
    </row>
    <row r="22" spans="1:10" x14ac:dyDescent="0.35">
      <c r="A22" t="s">
        <v>159</v>
      </c>
      <c r="B22" t="str">
        <f t="shared" si="0"/>
        <v>Tutoring</v>
      </c>
      <c r="C22" s="27">
        <v>2940</v>
      </c>
      <c r="D22" s="27">
        <v>224.91</v>
      </c>
      <c r="G22" t="s">
        <v>157</v>
      </c>
      <c r="H22">
        <v>8620.6099999999988</v>
      </c>
      <c r="I22">
        <v>0.05</v>
      </c>
      <c r="J22">
        <v>0.42</v>
      </c>
    </row>
    <row r="23" spans="1:10" x14ac:dyDescent="0.35">
      <c r="A23" t="s">
        <v>159</v>
      </c>
      <c r="B23" t="str">
        <f t="shared" si="0"/>
        <v>Regular Stipends</v>
      </c>
      <c r="C23" s="27">
        <v>28860</v>
      </c>
      <c r="D23" s="27">
        <v>2207.79</v>
      </c>
    </row>
    <row r="24" spans="1:10" x14ac:dyDescent="0.35">
      <c r="A24" t="s">
        <v>159</v>
      </c>
      <c r="B24" t="str">
        <f t="shared" si="0"/>
        <v>Summer PD</v>
      </c>
      <c r="C24" s="27">
        <v>21560</v>
      </c>
      <c r="D24" s="27">
        <v>1649.34</v>
      </c>
    </row>
    <row r="25" spans="1:10" x14ac:dyDescent="0.35">
      <c r="A25" t="s">
        <v>159</v>
      </c>
      <c r="B25" t="str">
        <f t="shared" si="0"/>
        <v>Summer School</v>
      </c>
      <c r="C25" s="27">
        <v>19800</v>
      </c>
      <c r="D25" s="27">
        <v>1514.7</v>
      </c>
    </row>
    <row r="26" spans="1:10" x14ac:dyDescent="0.35">
      <c r="A26" t="s">
        <v>159</v>
      </c>
      <c r="B26" t="str">
        <f t="shared" si="0"/>
        <v>PTO Payout</v>
      </c>
      <c r="C26" s="27">
        <v>73895.83</v>
      </c>
      <c r="D26" s="27">
        <v>5653.0309950000001</v>
      </c>
    </row>
    <row r="27" spans="1:10" x14ac:dyDescent="0.35">
      <c r="A27" t="s">
        <v>164</v>
      </c>
      <c r="B27" t="str">
        <f t="shared" si="0"/>
        <v>Tutoring</v>
      </c>
      <c r="C27" s="27">
        <v>7560</v>
      </c>
      <c r="D27" s="27">
        <v>578.34</v>
      </c>
    </row>
    <row r="28" spans="1:10" x14ac:dyDescent="0.35">
      <c r="A28" t="s">
        <v>164</v>
      </c>
      <c r="B28" t="str">
        <f t="shared" si="0"/>
        <v>Regular Stipends</v>
      </c>
      <c r="C28" s="27">
        <v>17850</v>
      </c>
      <c r="D28" s="27">
        <v>1365.5249999999999</v>
      </c>
    </row>
    <row r="29" spans="1:10" x14ac:dyDescent="0.35">
      <c r="A29" t="s">
        <v>164</v>
      </c>
      <c r="B29" t="str">
        <f t="shared" si="0"/>
        <v>Summer PD</v>
      </c>
      <c r="C29" s="27">
        <v>10560</v>
      </c>
      <c r="D29" s="27">
        <v>807.84</v>
      </c>
    </row>
    <row r="30" spans="1:10" x14ac:dyDescent="0.35">
      <c r="A30" t="s">
        <v>164</v>
      </c>
      <c r="B30" t="str">
        <f t="shared" si="0"/>
        <v>Summer School</v>
      </c>
      <c r="C30" s="27">
        <v>28200</v>
      </c>
      <c r="D30" s="27">
        <v>2157.3000000000002</v>
      </c>
    </row>
    <row r="31" spans="1:10" x14ac:dyDescent="0.35">
      <c r="A31" t="s">
        <v>164</v>
      </c>
      <c r="B31" t="str">
        <f t="shared" si="0"/>
        <v>PTO Payout</v>
      </c>
      <c r="C31" s="27">
        <v>66328.13</v>
      </c>
      <c r="D31" s="27">
        <v>5074.1019450000003</v>
      </c>
    </row>
    <row r="32" spans="1:10" x14ac:dyDescent="0.35">
      <c r="A32" t="s">
        <v>170</v>
      </c>
      <c r="B32" t="str">
        <f t="shared" si="0"/>
        <v>Tutoring</v>
      </c>
      <c r="C32" s="27">
        <v>7560</v>
      </c>
      <c r="D32" s="27">
        <v>578.34</v>
      </c>
    </row>
    <row r="33" spans="1:4" x14ac:dyDescent="0.35">
      <c r="A33" t="s">
        <v>170</v>
      </c>
      <c r="B33" t="str">
        <f t="shared" si="0"/>
        <v>Regular Stipends</v>
      </c>
      <c r="C33" s="27">
        <v>26400</v>
      </c>
      <c r="D33" s="27">
        <v>2019.6</v>
      </c>
    </row>
    <row r="34" spans="1:4" x14ac:dyDescent="0.35">
      <c r="A34" t="s">
        <v>170</v>
      </c>
      <c r="B34" t="str">
        <f t="shared" si="0"/>
        <v>Summer PD</v>
      </c>
      <c r="C34" s="27">
        <v>12880</v>
      </c>
      <c r="D34" s="27"/>
    </row>
    <row r="35" spans="1:4" x14ac:dyDescent="0.35">
      <c r="A35" t="s">
        <v>170</v>
      </c>
      <c r="B35" t="str">
        <f t="shared" si="0"/>
        <v>Summer School</v>
      </c>
      <c r="C35" s="27">
        <v>17000</v>
      </c>
      <c r="D35" s="27">
        <v>1300.5</v>
      </c>
    </row>
    <row r="36" spans="1:4" x14ac:dyDescent="0.35">
      <c r="A36" t="s">
        <v>170</v>
      </c>
      <c r="B36" t="str">
        <f t="shared" si="0"/>
        <v>PTO Payout</v>
      </c>
      <c r="C36" s="27">
        <v>36947.919999999998</v>
      </c>
      <c r="D36" s="27">
        <v>2826.5158799999999</v>
      </c>
    </row>
    <row r="37" spans="1:4" x14ac:dyDescent="0.35">
      <c r="A37" t="s">
        <v>155</v>
      </c>
      <c r="B37" t="str">
        <f t="shared" si="0"/>
        <v>Tutoring</v>
      </c>
      <c r="C37" s="27">
        <v>2940</v>
      </c>
      <c r="D37" s="27">
        <v>224.91</v>
      </c>
    </row>
    <row r="38" spans="1:4" x14ac:dyDescent="0.35">
      <c r="A38" t="s">
        <v>155</v>
      </c>
      <c r="B38" t="str">
        <f t="shared" si="0"/>
        <v>Regular Stipends</v>
      </c>
      <c r="C38" s="27">
        <v>11200</v>
      </c>
      <c r="D38" s="27">
        <v>856.8</v>
      </c>
    </row>
    <row r="39" spans="1:4" x14ac:dyDescent="0.35">
      <c r="A39" t="s">
        <v>155</v>
      </c>
      <c r="B39" t="str">
        <f t="shared" si="0"/>
        <v>Summer PD</v>
      </c>
      <c r="C39" s="27">
        <v>10120</v>
      </c>
      <c r="D39" s="27"/>
    </row>
    <row r="40" spans="1:4" x14ac:dyDescent="0.35">
      <c r="A40" t="s">
        <v>155</v>
      </c>
      <c r="B40" t="str">
        <f t="shared" si="0"/>
        <v>Summer School</v>
      </c>
      <c r="C40" s="27">
        <v>19800</v>
      </c>
      <c r="D40" s="27">
        <v>1514.7</v>
      </c>
    </row>
    <row r="41" spans="1:4" x14ac:dyDescent="0.35">
      <c r="A41" t="s">
        <v>155</v>
      </c>
      <c r="B41" t="str">
        <f t="shared" si="0"/>
        <v>PTO Payout</v>
      </c>
      <c r="C41" s="27">
        <v>38078.129999999997</v>
      </c>
      <c r="D41" s="27">
        <v>2912.9769449999999</v>
      </c>
    </row>
    <row r="42" spans="1:4" x14ac:dyDescent="0.35">
      <c r="A42" t="s">
        <v>154</v>
      </c>
      <c r="B42" t="str">
        <f t="shared" si="0"/>
        <v>Tutoring</v>
      </c>
      <c r="C42" s="27">
        <v>2940</v>
      </c>
      <c r="D42" s="27">
        <v>224.91</v>
      </c>
    </row>
    <row r="43" spans="1:4" x14ac:dyDescent="0.35">
      <c r="A43" t="s">
        <v>154</v>
      </c>
      <c r="B43" t="str">
        <f t="shared" si="0"/>
        <v>Regular Stipends</v>
      </c>
      <c r="C43" s="27">
        <v>8200</v>
      </c>
      <c r="D43" s="27">
        <v>627.29999999999995</v>
      </c>
    </row>
    <row r="44" spans="1:4" x14ac:dyDescent="0.35">
      <c r="A44" t="s">
        <v>154</v>
      </c>
      <c r="B44" t="str">
        <f t="shared" si="0"/>
        <v>Summer PD</v>
      </c>
      <c r="C44" s="27">
        <v>4840</v>
      </c>
      <c r="D44" s="27"/>
    </row>
    <row r="45" spans="1:4" x14ac:dyDescent="0.35">
      <c r="A45" t="s">
        <v>154</v>
      </c>
      <c r="B45" t="str">
        <f t="shared" si="0"/>
        <v>Summer School</v>
      </c>
      <c r="C45" s="27">
        <v>19800</v>
      </c>
      <c r="D45" s="27">
        <v>1514.7</v>
      </c>
    </row>
    <row r="46" spans="1:4" x14ac:dyDescent="0.35">
      <c r="A46" t="s">
        <v>154</v>
      </c>
      <c r="B46" t="str">
        <f t="shared" si="0"/>
        <v>PTO Payout</v>
      </c>
      <c r="C46" s="27">
        <v>22406.25</v>
      </c>
      <c r="D46" s="27">
        <v>1714.078125</v>
      </c>
    </row>
    <row r="47" spans="1:4" x14ac:dyDescent="0.35">
      <c r="A47" t="s">
        <v>161</v>
      </c>
      <c r="B47" t="str">
        <f t="shared" si="0"/>
        <v>Tutoring</v>
      </c>
      <c r="C47" s="27">
        <v>5127.68</v>
      </c>
      <c r="D47" s="27">
        <v>392.26751999999999</v>
      </c>
    </row>
    <row r="48" spans="1:4" x14ac:dyDescent="0.35">
      <c r="A48" t="s">
        <v>161</v>
      </c>
      <c r="B48" t="str">
        <f t="shared" si="0"/>
        <v>Regular Stipends</v>
      </c>
      <c r="C48" s="27">
        <v>11000</v>
      </c>
      <c r="D48" s="27">
        <v>841.5</v>
      </c>
    </row>
    <row r="49" spans="1:4" x14ac:dyDescent="0.35">
      <c r="A49" t="s">
        <v>161</v>
      </c>
      <c r="B49" t="str">
        <f t="shared" si="0"/>
        <v>Summer PD</v>
      </c>
      <c r="C49" s="27">
        <v>7920</v>
      </c>
      <c r="D49" s="27"/>
    </row>
    <row r="50" spans="1:4" x14ac:dyDescent="0.35">
      <c r="A50" t="s">
        <v>161</v>
      </c>
      <c r="B50" t="str">
        <f t="shared" si="0"/>
        <v>Summer School</v>
      </c>
      <c r="C50" s="27">
        <v>28200</v>
      </c>
      <c r="D50" s="27">
        <v>2157.3000000000002</v>
      </c>
    </row>
    <row r="51" spans="1:4" x14ac:dyDescent="0.35">
      <c r="A51" t="s">
        <v>161</v>
      </c>
      <c r="B51" t="str">
        <f t="shared" si="0"/>
        <v>PTO Payout</v>
      </c>
      <c r="C51" s="27">
        <v>30125</v>
      </c>
      <c r="D51" s="27">
        <v>2304.5625</v>
      </c>
    </row>
    <row r="52" spans="1:4" x14ac:dyDescent="0.35">
      <c r="A52" t="s">
        <v>1</v>
      </c>
      <c r="B52" t="str">
        <f t="shared" si="0"/>
        <v>Tutoring</v>
      </c>
      <c r="C52" s="27">
        <v>3780</v>
      </c>
      <c r="D52" s="27">
        <v>289.17</v>
      </c>
    </row>
    <row r="53" spans="1:4" x14ac:dyDescent="0.35">
      <c r="A53" t="s">
        <v>1</v>
      </c>
      <c r="B53" t="str">
        <f t="shared" si="0"/>
        <v>Regular Stipends</v>
      </c>
      <c r="C53" s="27">
        <v>7200</v>
      </c>
      <c r="D53" s="27">
        <v>550.79999999999995</v>
      </c>
    </row>
    <row r="54" spans="1:4" x14ac:dyDescent="0.35">
      <c r="A54" t="s">
        <v>1</v>
      </c>
      <c r="B54" t="str">
        <f t="shared" si="0"/>
        <v>Summer PD</v>
      </c>
      <c r="C54" s="27">
        <v>3960</v>
      </c>
      <c r="D54" s="27">
        <v>302.94</v>
      </c>
    </row>
    <row r="55" spans="1:4" x14ac:dyDescent="0.35">
      <c r="A55" t="s">
        <v>1</v>
      </c>
      <c r="B55" t="str">
        <f t="shared" si="0"/>
        <v>Summer School</v>
      </c>
      <c r="C55" s="27">
        <v>22600</v>
      </c>
      <c r="D55" s="27">
        <v>1728.8999999999999</v>
      </c>
    </row>
    <row r="56" spans="1:4" x14ac:dyDescent="0.35">
      <c r="A56" t="s">
        <v>1</v>
      </c>
      <c r="B56" t="str">
        <f t="shared" si="0"/>
        <v>PTO Payout</v>
      </c>
      <c r="C56" s="27">
        <v>13218.75</v>
      </c>
      <c r="D56" s="27">
        <v>1011.234375</v>
      </c>
    </row>
    <row r="57" spans="1:4" x14ac:dyDescent="0.35">
      <c r="A57" t="s">
        <v>158</v>
      </c>
      <c r="B57" t="str">
        <f t="shared" si="0"/>
        <v>Tutoring</v>
      </c>
      <c r="C57" s="27">
        <v>7560</v>
      </c>
      <c r="D57" s="27">
        <v>578.34</v>
      </c>
    </row>
    <row r="58" spans="1:4" x14ac:dyDescent="0.35">
      <c r="A58" t="s">
        <v>158</v>
      </c>
      <c r="B58" t="str">
        <f t="shared" si="0"/>
        <v>Regular Stipends</v>
      </c>
      <c r="C58" s="27">
        <v>21000</v>
      </c>
      <c r="D58" s="27">
        <v>1606.5</v>
      </c>
    </row>
    <row r="59" spans="1:4" x14ac:dyDescent="0.35">
      <c r="A59" t="s">
        <v>158</v>
      </c>
      <c r="B59" t="str">
        <f t="shared" si="0"/>
        <v>Summer PD</v>
      </c>
      <c r="C59" s="27">
        <v>17160</v>
      </c>
      <c r="D59" s="27"/>
    </row>
    <row r="60" spans="1:4" x14ac:dyDescent="0.35">
      <c r="A60" t="s">
        <v>158</v>
      </c>
      <c r="B60" t="str">
        <f t="shared" si="0"/>
        <v>Summer School</v>
      </c>
      <c r="C60" s="27">
        <v>28200</v>
      </c>
      <c r="D60" s="27">
        <v>2157.3000000000002</v>
      </c>
    </row>
    <row r="61" spans="1:4" x14ac:dyDescent="0.35">
      <c r="A61" t="s">
        <v>158</v>
      </c>
      <c r="B61" t="str">
        <f t="shared" si="0"/>
        <v>PTO Payout</v>
      </c>
      <c r="C61" s="27">
        <v>76296.88</v>
      </c>
      <c r="D61" s="27">
        <v>5836.7113200000003</v>
      </c>
    </row>
    <row r="62" spans="1:4" x14ac:dyDescent="0.35">
      <c r="A62" t="s">
        <v>171</v>
      </c>
      <c r="B62" t="str">
        <f t="shared" si="0"/>
        <v>Tutoring</v>
      </c>
      <c r="C62" s="27">
        <v>7560</v>
      </c>
      <c r="D62" s="27">
        <v>578.34</v>
      </c>
    </row>
    <row r="63" spans="1:4" x14ac:dyDescent="0.35">
      <c r="A63" t="s">
        <v>171</v>
      </c>
      <c r="B63" t="str">
        <f t="shared" si="0"/>
        <v>Regular Stipends</v>
      </c>
      <c r="C63" s="27">
        <v>46000</v>
      </c>
      <c r="D63" s="27">
        <v>3519</v>
      </c>
    </row>
    <row r="64" spans="1:4" x14ac:dyDescent="0.35">
      <c r="A64" t="s">
        <v>171</v>
      </c>
      <c r="B64" t="str">
        <f t="shared" si="0"/>
        <v>Summer PD</v>
      </c>
      <c r="C64" s="27">
        <v>17360</v>
      </c>
      <c r="D64" s="27"/>
    </row>
    <row r="65" spans="1:4" x14ac:dyDescent="0.35">
      <c r="A65" t="s">
        <v>171</v>
      </c>
      <c r="B65" t="str">
        <f t="shared" si="0"/>
        <v>Summer School</v>
      </c>
      <c r="C65" s="27">
        <v>22600</v>
      </c>
      <c r="D65" s="27">
        <v>1728.8999999999999</v>
      </c>
    </row>
    <row r="66" spans="1:4" x14ac:dyDescent="0.35">
      <c r="A66" t="s">
        <v>171</v>
      </c>
      <c r="B66" t="str">
        <f t="shared" si="0"/>
        <v>PTO Payout</v>
      </c>
      <c r="C66" s="27">
        <v>62609.38</v>
      </c>
      <c r="D66" s="27">
        <v>4789.6175699999994</v>
      </c>
    </row>
    <row r="67" spans="1:4" x14ac:dyDescent="0.35">
      <c r="A67" t="s">
        <v>160</v>
      </c>
      <c r="B67" t="str">
        <f t="shared" si="0"/>
        <v>Tutoring</v>
      </c>
      <c r="C67" s="27">
        <v>2940</v>
      </c>
      <c r="D67" s="27">
        <v>224.91</v>
      </c>
    </row>
    <row r="68" spans="1:4" x14ac:dyDescent="0.35">
      <c r="A68" t="s">
        <v>160</v>
      </c>
      <c r="B68" t="str">
        <f t="shared" si="0"/>
        <v>Regular Stipends</v>
      </c>
      <c r="C68" s="27">
        <v>11200</v>
      </c>
      <c r="D68" s="27">
        <v>856.8</v>
      </c>
    </row>
    <row r="69" spans="1:4" x14ac:dyDescent="0.35">
      <c r="A69" t="s">
        <v>160</v>
      </c>
      <c r="B69" t="str">
        <f t="shared" si="0"/>
        <v>Summer PD</v>
      </c>
      <c r="C69" s="27">
        <v>20680</v>
      </c>
      <c r="D69" s="27"/>
    </row>
    <row r="70" spans="1:4" x14ac:dyDescent="0.35">
      <c r="A70" t="s">
        <v>160</v>
      </c>
      <c r="B70" t="str">
        <f t="shared" si="0"/>
        <v>Summer School</v>
      </c>
      <c r="C70" s="27">
        <v>22600</v>
      </c>
      <c r="D70" s="27">
        <v>1728.8999999999999</v>
      </c>
    </row>
    <row r="71" spans="1:4" x14ac:dyDescent="0.35">
      <c r="A71" t="s">
        <v>160</v>
      </c>
      <c r="B71" t="str">
        <f t="shared" si="0"/>
        <v>PTO Payout</v>
      </c>
      <c r="C71" s="27">
        <v>64218.75</v>
      </c>
      <c r="D71" s="27">
        <v>4912.734375</v>
      </c>
    </row>
    <row r="72" spans="1:4" x14ac:dyDescent="0.35">
      <c r="A72" t="s">
        <v>165</v>
      </c>
      <c r="B72" t="str">
        <f t="shared" ref="B72:B96" si="1">B67</f>
        <v>Tutoring</v>
      </c>
      <c r="C72" s="27">
        <v>7560</v>
      </c>
      <c r="D72" s="27">
        <v>578.34</v>
      </c>
    </row>
    <row r="73" spans="1:4" x14ac:dyDescent="0.35">
      <c r="A73" t="s">
        <v>165</v>
      </c>
      <c r="B73" t="str">
        <f t="shared" si="1"/>
        <v>Regular Stipends</v>
      </c>
      <c r="C73" s="27">
        <v>11500</v>
      </c>
      <c r="D73" s="27">
        <v>879.75</v>
      </c>
    </row>
    <row r="74" spans="1:4" x14ac:dyDescent="0.35">
      <c r="A74" t="s">
        <v>165</v>
      </c>
      <c r="B74" t="str">
        <f t="shared" si="1"/>
        <v>Summer PD</v>
      </c>
      <c r="C74" s="27">
        <v>6600</v>
      </c>
      <c r="D74" s="27"/>
    </row>
    <row r="75" spans="1:4" x14ac:dyDescent="0.35">
      <c r="A75" t="s">
        <v>165</v>
      </c>
      <c r="B75" t="str">
        <f t="shared" si="1"/>
        <v>Summer School</v>
      </c>
      <c r="C75" s="27">
        <v>28200</v>
      </c>
      <c r="D75" s="27">
        <v>2157.3000000000002</v>
      </c>
    </row>
    <row r="76" spans="1:4" x14ac:dyDescent="0.35">
      <c r="A76" t="s">
        <v>165</v>
      </c>
      <c r="B76" t="str">
        <f t="shared" si="1"/>
        <v>PTO Payout</v>
      </c>
      <c r="C76" s="27">
        <v>18406.25</v>
      </c>
      <c r="D76" s="27">
        <v>1408.078125</v>
      </c>
    </row>
    <row r="77" spans="1:4" x14ac:dyDescent="0.35">
      <c r="A77" t="s">
        <v>169</v>
      </c>
      <c r="B77" t="str">
        <f t="shared" si="1"/>
        <v>Tutoring</v>
      </c>
      <c r="C77" s="27">
        <v>7560</v>
      </c>
      <c r="D77" s="27">
        <v>578.34</v>
      </c>
    </row>
    <row r="78" spans="1:4" x14ac:dyDescent="0.35">
      <c r="A78" t="s">
        <v>169</v>
      </c>
      <c r="B78" t="str">
        <f t="shared" si="1"/>
        <v>Regular Stipends</v>
      </c>
      <c r="C78" s="27">
        <v>14500</v>
      </c>
      <c r="D78" s="27">
        <v>1109.25</v>
      </c>
    </row>
    <row r="79" spans="1:4" x14ac:dyDescent="0.35">
      <c r="A79" t="s">
        <v>169</v>
      </c>
      <c r="B79" t="str">
        <f t="shared" si="1"/>
        <v>Summer PD</v>
      </c>
      <c r="C79" s="27">
        <v>18040</v>
      </c>
      <c r="D79" s="27"/>
    </row>
    <row r="80" spans="1:4" x14ac:dyDescent="0.35">
      <c r="A80" t="s">
        <v>169</v>
      </c>
      <c r="B80" t="str">
        <f t="shared" si="1"/>
        <v>Summer School</v>
      </c>
      <c r="C80" s="27">
        <v>31000</v>
      </c>
      <c r="D80" s="27">
        <v>2371.5</v>
      </c>
    </row>
    <row r="81" spans="1:4" x14ac:dyDescent="0.35">
      <c r="A81" t="s">
        <v>169</v>
      </c>
      <c r="B81" t="str">
        <f t="shared" si="1"/>
        <v>PTO Payout</v>
      </c>
      <c r="C81" s="27">
        <v>56531.25</v>
      </c>
      <c r="D81" s="27">
        <v>4324.640625</v>
      </c>
    </row>
    <row r="82" spans="1:4" x14ac:dyDescent="0.35">
      <c r="A82" t="s">
        <v>167</v>
      </c>
      <c r="B82" t="str">
        <f t="shared" si="1"/>
        <v>Tutoring</v>
      </c>
      <c r="C82" s="27">
        <v>2940</v>
      </c>
      <c r="D82" s="27">
        <v>224.91</v>
      </c>
    </row>
    <row r="83" spans="1:4" x14ac:dyDescent="0.35">
      <c r="A83" t="s">
        <v>167</v>
      </c>
      <c r="B83" t="str">
        <f t="shared" si="1"/>
        <v>Regular Stipends</v>
      </c>
      <c r="C83" s="27">
        <v>13204</v>
      </c>
      <c r="D83" s="27">
        <v>1010.106</v>
      </c>
    </row>
    <row r="84" spans="1:4" x14ac:dyDescent="0.35">
      <c r="A84" t="s">
        <v>167</v>
      </c>
      <c r="B84" t="str">
        <f t="shared" si="1"/>
        <v>Summer PD</v>
      </c>
      <c r="C84" s="27">
        <v>19800</v>
      </c>
      <c r="D84" s="27"/>
    </row>
    <row r="85" spans="1:4" x14ac:dyDescent="0.35">
      <c r="A85" t="s">
        <v>167</v>
      </c>
      <c r="B85" t="str">
        <f t="shared" si="1"/>
        <v>Summer School</v>
      </c>
      <c r="C85" s="27">
        <v>22600</v>
      </c>
      <c r="D85" s="27">
        <v>1728.8999999999999</v>
      </c>
    </row>
    <row r="86" spans="1:4" x14ac:dyDescent="0.35">
      <c r="A86" t="s">
        <v>167</v>
      </c>
      <c r="B86" t="str">
        <f t="shared" si="1"/>
        <v>PTO Payout</v>
      </c>
      <c r="C86" s="27">
        <v>77997.67</v>
      </c>
      <c r="D86" s="27">
        <v>5966.8217549999999</v>
      </c>
    </row>
    <row r="87" spans="1:4" x14ac:dyDescent="0.35">
      <c r="A87" t="s">
        <v>166</v>
      </c>
      <c r="B87" t="str">
        <f t="shared" si="1"/>
        <v>Tutoring</v>
      </c>
      <c r="C87" s="27">
        <v>7560</v>
      </c>
      <c r="D87" s="27">
        <v>578.34</v>
      </c>
    </row>
    <row r="88" spans="1:4" x14ac:dyDescent="0.35">
      <c r="A88" t="s">
        <v>166</v>
      </c>
      <c r="B88" t="str">
        <f t="shared" si="1"/>
        <v>Regular Stipends</v>
      </c>
      <c r="C88" s="27">
        <v>9500</v>
      </c>
      <c r="D88" s="27">
        <v>726.75</v>
      </c>
    </row>
    <row r="89" spans="1:4" x14ac:dyDescent="0.35">
      <c r="A89" t="s">
        <v>166</v>
      </c>
      <c r="B89" t="str">
        <f t="shared" si="1"/>
        <v>Summer PD</v>
      </c>
      <c r="C89" s="27">
        <v>13640</v>
      </c>
      <c r="D89" s="27"/>
    </row>
    <row r="90" spans="1:4" x14ac:dyDescent="0.35">
      <c r="A90" t="s">
        <v>166</v>
      </c>
      <c r="B90" t="str">
        <f t="shared" si="1"/>
        <v>Summer School</v>
      </c>
      <c r="C90" s="27">
        <v>28200</v>
      </c>
      <c r="D90" s="27">
        <v>2157.3000000000002</v>
      </c>
    </row>
    <row r="91" spans="1:4" x14ac:dyDescent="0.35">
      <c r="A91" t="s">
        <v>166</v>
      </c>
      <c r="B91" t="str">
        <f t="shared" si="1"/>
        <v>PTO Payout</v>
      </c>
      <c r="C91" s="27">
        <v>41687.5</v>
      </c>
      <c r="D91" s="27">
        <v>3189.09375</v>
      </c>
    </row>
    <row r="92" spans="1:4" x14ac:dyDescent="0.35">
      <c r="A92" t="s">
        <v>168</v>
      </c>
      <c r="B92" t="str">
        <f t="shared" si="1"/>
        <v>Tutoring</v>
      </c>
      <c r="C92" s="27">
        <v>7560</v>
      </c>
      <c r="D92" s="27">
        <v>578.34</v>
      </c>
    </row>
    <row r="93" spans="1:4" x14ac:dyDescent="0.35">
      <c r="A93" t="s">
        <v>168</v>
      </c>
      <c r="B93" t="str">
        <f t="shared" si="1"/>
        <v>Regular Stipends</v>
      </c>
      <c r="C93" s="27">
        <v>9500</v>
      </c>
      <c r="D93" s="27">
        <v>726.75</v>
      </c>
    </row>
    <row r="94" spans="1:4" x14ac:dyDescent="0.35">
      <c r="A94" t="s">
        <v>168</v>
      </c>
      <c r="B94" t="str">
        <f t="shared" si="1"/>
        <v>Summer PD</v>
      </c>
      <c r="C94" s="27">
        <v>18040</v>
      </c>
      <c r="D94" s="27">
        <v>1380.06</v>
      </c>
    </row>
    <row r="95" spans="1:4" x14ac:dyDescent="0.35">
      <c r="A95" t="s">
        <v>168</v>
      </c>
      <c r="B95" t="str">
        <f t="shared" si="1"/>
        <v>Summer School</v>
      </c>
      <c r="C95" s="27">
        <v>28200</v>
      </c>
      <c r="D95" s="27">
        <v>2157.3000000000002</v>
      </c>
    </row>
    <row r="96" spans="1:4" x14ac:dyDescent="0.35">
      <c r="A96" t="s">
        <v>168</v>
      </c>
      <c r="B96" t="str">
        <f t="shared" si="1"/>
        <v>PTO Payout</v>
      </c>
      <c r="C96" s="27">
        <v>72539</v>
      </c>
      <c r="D96" s="27">
        <v>5549.2335000000003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9BB7-37F4-43C0-B426-AEAD8A03DAA5}">
  <dimension ref="A4:Z31"/>
  <sheetViews>
    <sheetView workbookViewId="0"/>
  </sheetViews>
  <sheetFormatPr defaultRowHeight="14.5" x14ac:dyDescent="0.35"/>
  <cols>
    <col min="1" max="1" width="25.453125" customWidth="1"/>
    <col min="2" max="2" width="12.81640625" bestFit="1" customWidth="1"/>
    <col min="3" max="3" width="16.1796875" customWidth="1"/>
    <col min="4" max="4" width="12.81640625" bestFit="1" customWidth="1"/>
    <col min="5" max="5" width="20" customWidth="1"/>
    <col min="6" max="6" width="22.453125" bestFit="1" customWidth="1"/>
    <col min="7" max="7" width="18.81640625" bestFit="1" customWidth="1"/>
    <col min="8" max="8" width="13.453125" customWidth="1"/>
    <col min="9" max="9" width="19.1796875" customWidth="1"/>
    <col min="10" max="10" width="16.1796875" customWidth="1"/>
    <col min="11" max="11" width="19.453125" customWidth="1"/>
    <col min="12" max="12" width="18" customWidth="1"/>
    <col min="13" max="13" width="16.453125" customWidth="1"/>
    <col min="15" max="16" width="15.54296875" customWidth="1"/>
    <col min="17" max="17" width="20" customWidth="1"/>
    <col min="18" max="18" width="22.1796875" customWidth="1"/>
    <col min="19" max="19" width="17.54296875" customWidth="1"/>
  </cols>
  <sheetData>
    <row r="4" spans="1:13" x14ac:dyDescent="0.35">
      <c r="A4" s="12" t="s">
        <v>218</v>
      </c>
    </row>
    <row r="5" spans="1:13" s="57" customFormat="1" x14ac:dyDescent="0.35">
      <c r="A5" s="56" t="s">
        <v>219</v>
      </c>
      <c r="B5" s="56" t="s">
        <v>220</v>
      </c>
      <c r="C5" s="56" t="s">
        <v>93</v>
      </c>
      <c r="D5" s="56" t="s">
        <v>221</v>
      </c>
      <c r="E5" s="56" t="s">
        <v>222</v>
      </c>
      <c r="F5" s="56" t="s">
        <v>223</v>
      </c>
      <c r="G5" s="56" t="s">
        <v>224</v>
      </c>
      <c r="H5" s="69" t="s">
        <v>172</v>
      </c>
      <c r="I5" s="56" t="s">
        <v>225</v>
      </c>
      <c r="J5" s="70" t="s">
        <v>226</v>
      </c>
    </row>
    <row r="6" spans="1:13" s="55" customFormat="1" x14ac:dyDescent="0.35">
      <c r="A6" s="50" t="s">
        <v>1</v>
      </c>
      <c r="B6" s="50" t="s">
        <v>227</v>
      </c>
      <c r="C6" s="50" t="s">
        <v>228</v>
      </c>
      <c r="D6" s="51" t="s">
        <v>229</v>
      </c>
      <c r="E6" s="52">
        <v>9</v>
      </c>
      <c r="F6" s="53"/>
      <c r="G6" s="54"/>
      <c r="H6" s="54"/>
      <c r="I6" s="100">
        <f t="shared" ref="I6" si="0">(E6*F6*G6)+H6</f>
        <v>0</v>
      </c>
      <c r="J6" s="71">
        <f t="shared" ref="J6" si="1">E6*F6*G6</f>
        <v>0</v>
      </c>
      <c r="K6" s="101"/>
    </row>
    <row r="7" spans="1:13" s="55" customFormat="1" x14ac:dyDescent="0.35">
      <c r="A7" s="61"/>
      <c r="B7" s="61"/>
      <c r="C7" s="61"/>
      <c r="D7" s="62"/>
      <c r="F7" s="63"/>
      <c r="G7" s="58"/>
      <c r="H7" s="58"/>
      <c r="I7" s="72"/>
      <c r="J7" s="58"/>
    </row>
    <row r="9" spans="1:13" x14ac:dyDescent="0.35">
      <c r="A9" s="12" t="s">
        <v>99</v>
      </c>
      <c r="E9" s="105"/>
    </row>
    <row r="10" spans="1:13" s="57" customFormat="1" x14ac:dyDescent="0.35">
      <c r="A10" s="56" t="s">
        <v>219</v>
      </c>
      <c r="B10" s="56" t="s">
        <v>220</v>
      </c>
      <c r="C10" s="56" t="s">
        <v>93</v>
      </c>
      <c r="D10" s="56" t="s">
        <v>221</v>
      </c>
      <c r="E10" s="69" t="s">
        <v>230</v>
      </c>
      <c r="F10" s="69" t="s">
        <v>231</v>
      </c>
      <c r="G10" s="56" t="s">
        <v>232</v>
      </c>
      <c r="H10" s="56" t="s">
        <v>233</v>
      </c>
      <c r="I10" s="56" t="s">
        <v>234</v>
      </c>
      <c r="J10" s="56" t="s">
        <v>235</v>
      </c>
      <c r="K10" s="69" t="s">
        <v>172</v>
      </c>
      <c r="L10" s="56" t="s">
        <v>225</v>
      </c>
      <c r="M10" s="70" t="s">
        <v>236</v>
      </c>
    </row>
    <row r="11" spans="1:13" s="55" customFormat="1" x14ac:dyDescent="0.35">
      <c r="A11" s="50" t="s">
        <v>1</v>
      </c>
      <c r="B11" s="50" t="s">
        <v>227</v>
      </c>
      <c r="C11" s="50" t="s">
        <v>228</v>
      </c>
      <c r="D11" s="51" t="s">
        <v>229</v>
      </c>
      <c r="E11" s="59"/>
      <c r="F11" s="59"/>
      <c r="G11" s="52"/>
      <c r="H11" s="53"/>
      <c r="I11" s="60"/>
      <c r="J11" s="52"/>
      <c r="K11" s="54"/>
      <c r="L11" s="100">
        <f t="shared" ref="L11" si="2">E11+F11+(G11*H11*I11*J11)+K11</f>
        <v>0</v>
      </c>
      <c r="M11" s="73">
        <f t="shared" ref="M11" si="3">G11*H11*I11*J11+F11</f>
        <v>0</v>
      </c>
    </row>
    <row r="16" spans="1:13" x14ac:dyDescent="0.35">
      <c r="A16" s="12" t="s">
        <v>98</v>
      </c>
    </row>
    <row r="17" spans="1:26" s="57" customFormat="1" ht="43.5" x14ac:dyDescent="0.35">
      <c r="A17" s="56" t="s">
        <v>219</v>
      </c>
      <c r="B17" s="56" t="s">
        <v>220</v>
      </c>
      <c r="C17" s="56" t="s">
        <v>93</v>
      </c>
      <c r="D17" s="64" t="s">
        <v>221</v>
      </c>
      <c r="E17" s="64" t="s">
        <v>237</v>
      </c>
      <c r="F17" s="64" t="s">
        <v>238</v>
      </c>
      <c r="G17" s="64" t="s">
        <v>239</v>
      </c>
      <c r="H17" s="64" t="s">
        <v>240</v>
      </c>
      <c r="I17" s="64" t="s">
        <v>241</v>
      </c>
      <c r="J17" s="64" t="s">
        <v>242</v>
      </c>
      <c r="K17" s="64" t="s">
        <v>243</v>
      </c>
      <c r="L17" s="64" t="s">
        <v>244</v>
      </c>
      <c r="M17" s="64" t="s">
        <v>245</v>
      </c>
      <c r="N17" s="64" t="s">
        <v>241</v>
      </c>
      <c r="O17" s="64" t="s">
        <v>246</v>
      </c>
      <c r="P17" s="69" t="s">
        <v>247</v>
      </c>
      <c r="Q17" s="75" t="s">
        <v>248</v>
      </c>
      <c r="R17" s="64" t="s">
        <v>249</v>
      </c>
      <c r="S17" s="70" t="s">
        <v>250</v>
      </c>
    </row>
    <row r="18" spans="1:26" s="55" customFormat="1" x14ac:dyDescent="0.35">
      <c r="A18" s="50" t="s">
        <v>1</v>
      </c>
      <c r="B18" s="50" t="s">
        <v>227</v>
      </c>
      <c r="C18" s="50" t="s">
        <v>228</v>
      </c>
      <c r="D18" s="51" t="s">
        <v>229</v>
      </c>
      <c r="E18" s="65"/>
      <c r="F18" s="66"/>
      <c r="G18" s="67">
        <f t="shared" ref="G18" si="4">E18*F18</f>
        <v>0</v>
      </c>
      <c r="H18" s="68">
        <v>8</v>
      </c>
      <c r="I18" s="59"/>
      <c r="J18" s="96">
        <f t="shared" ref="J18" si="5">G18*H18*I18</f>
        <v>0</v>
      </c>
      <c r="K18" s="112"/>
      <c r="L18" s="97">
        <f t="shared" ref="L18" si="6">E18*K18</f>
        <v>0</v>
      </c>
      <c r="M18" s="53"/>
      <c r="N18" s="59"/>
      <c r="O18" s="96">
        <f t="shared" ref="O18" si="7">L18*M18*N18</f>
        <v>0</v>
      </c>
      <c r="P18" s="98"/>
      <c r="Q18" s="99">
        <f t="shared" ref="Q18" si="8">E18*40</f>
        <v>0</v>
      </c>
      <c r="R18" s="100">
        <f t="shared" ref="R18" si="9">J18+O18+P18+Q18</f>
        <v>0</v>
      </c>
      <c r="S18" s="73">
        <f t="shared" ref="S18" si="10">J18+O18</f>
        <v>0</v>
      </c>
      <c r="T18" s="106"/>
      <c r="X18"/>
      <c r="Y18" s="106"/>
      <c r="Z18" s="72"/>
    </row>
    <row r="20" spans="1:26" x14ac:dyDescent="0.35">
      <c r="B20" s="47"/>
    </row>
    <row r="21" spans="1:26" x14ac:dyDescent="0.35">
      <c r="A21" s="12" t="s">
        <v>251</v>
      </c>
      <c r="B21" s="47"/>
    </row>
    <row r="22" spans="1:26" x14ac:dyDescent="0.35">
      <c r="B22" s="47"/>
    </row>
    <row r="23" spans="1:26" x14ac:dyDescent="0.35">
      <c r="A23" s="12" t="s">
        <v>252</v>
      </c>
      <c r="B23" s="47"/>
    </row>
    <row r="24" spans="1:26" ht="15" thickBot="1" x14ac:dyDescent="0.4">
      <c r="B24" s="102" t="s">
        <v>253</v>
      </c>
    </row>
    <row r="25" spans="1:26" ht="15" thickTop="1" x14ac:dyDescent="0.35">
      <c r="A25" t="s">
        <v>254</v>
      </c>
      <c r="B25" s="47">
        <v>0</v>
      </c>
    </row>
    <row r="26" spans="1:26" x14ac:dyDescent="0.35">
      <c r="A26" t="s">
        <v>255</v>
      </c>
      <c r="B26" s="47"/>
      <c r="C26" s="46"/>
    </row>
    <row r="27" spans="1:26" x14ac:dyDescent="0.35">
      <c r="A27" t="s">
        <v>256</v>
      </c>
      <c r="B27" s="47"/>
    </row>
    <row r="28" spans="1:26" x14ac:dyDescent="0.35">
      <c r="A28" t="s">
        <v>0</v>
      </c>
      <c r="B28" s="47"/>
    </row>
    <row r="29" spans="1:26" x14ac:dyDescent="0.35">
      <c r="B29" s="47"/>
    </row>
    <row r="30" spans="1:26" x14ac:dyDescent="0.35">
      <c r="B30" s="46"/>
    </row>
    <row r="31" spans="1:26" x14ac:dyDescent="0.35">
      <c r="B31" s="8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6E2D-ED75-499B-9EF8-157854477AB9}">
  <dimension ref="A1:B23"/>
  <sheetViews>
    <sheetView workbookViewId="0"/>
  </sheetViews>
  <sheetFormatPr defaultRowHeight="14.5" x14ac:dyDescent="0.35"/>
  <cols>
    <col min="1" max="1" width="34.453125" bestFit="1" customWidth="1"/>
    <col min="2" max="2" width="12.81640625" customWidth="1"/>
  </cols>
  <sheetData>
    <row r="1" spans="1:2" x14ac:dyDescent="0.35">
      <c r="B1" t="s">
        <v>1</v>
      </c>
    </row>
    <row r="3" spans="1:2" x14ac:dyDescent="0.35">
      <c r="B3" s="76"/>
    </row>
    <row r="4" spans="1:2" x14ac:dyDescent="0.35">
      <c r="B4" s="76"/>
    </row>
    <row r="5" spans="1:2" x14ac:dyDescent="0.35">
      <c r="A5" s="77"/>
      <c r="B5" s="80"/>
    </row>
    <row r="6" spans="1:2" ht="16" x14ac:dyDescent="0.4">
      <c r="A6" s="78" t="s">
        <v>266</v>
      </c>
      <c r="B6" s="81"/>
    </row>
    <row r="8" spans="1:2" ht="16" x14ac:dyDescent="0.4">
      <c r="A8" s="45" t="s">
        <v>267</v>
      </c>
      <c r="B8" s="27"/>
    </row>
    <row r="10" spans="1:2" x14ac:dyDescent="0.35">
      <c r="A10" t="s">
        <v>268</v>
      </c>
      <c r="B10" s="27"/>
    </row>
    <row r="12" spans="1:2" x14ac:dyDescent="0.35">
      <c r="A12" t="s">
        <v>269</v>
      </c>
      <c r="B12" s="74"/>
    </row>
    <row r="14" spans="1:2" x14ac:dyDescent="0.35">
      <c r="A14" t="s">
        <v>270</v>
      </c>
      <c r="B14" s="27"/>
    </row>
    <row r="16" spans="1:2" x14ac:dyDescent="0.35">
      <c r="A16" s="77"/>
      <c r="B16" s="80">
        <v>1.6679447852760737E-2</v>
      </c>
    </row>
    <row r="17" spans="1:2" x14ac:dyDescent="0.35">
      <c r="A17" s="79" t="s">
        <v>271</v>
      </c>
      <c r="B17" s="81"/>
    </row>
    <row r="19" spans="1:2" x14ac:dyDescent="0.35">
      <c r="A19" s="77"/>
      <c r="B19" s="80">
        <v>1.6679447852760737E-2</v>
      </c>
    </row>
    <row r="20" spans="1:2" x14ac:dyDescent="0.35">
      <c r="A20" s="79" t="s">
        <v>272</v>
      </c>
      <c r="B20" s="81"/>
    </row>
    <row r="21" spans="1:2" x14ac:dyDescent="0.35">
      <c r="B21" s="83"/>
    </row>
    <row r="22" spans="1:2" x14ac:dyDescent="0.35">
      <c r="A22" t="s">
        <v>273</v>
      </c>
      <c r="B22" s="83">
        <v>0</v>
      </c>
    </row>
    <row r="23" spans="1:2" x14ac:dyDescent="0.35">
      <c r="A23" t="s">
        <v>0</v>
      </c>
      <c r="B23" s="83">
        <f>B6+B8+B10+B12+B14+B17+B20+B22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5D00-41AC-45BE-B5AC-0179F338C238}">
  <dimension ref="A1:G59"/>
  <sheetViews>
    <sheetView workbookViewId="0"/>
  </sheetViews>
  <sheetFormatPr defaultColWidth="8.54296875" defaultRowHeight="14.5" x14ac:dyDescent="0.35"/>
  <cols>
    <col min="1" max="1" width="23.453125" customWidth="1"/>
    <col min="2" max="2" width="52.453125" customWidth="1"/>
    <col min="3" max="3" width="28.54296875" customWidth="1"/>
    <col min="4" max="4" width="21.81640625" bestFit="1" customWidth="1"/>
    <col min="5" max="5" width="28.453125" customWidth="1"/>
    <col min="6" max="6" width="66.453125" customWidth="1"/>
    <col min="7" max="7" width="17" customWidth="1"/>
    <col min="9" max="9" width="19.453125" customWidth="1"/>
    <col min="10" max="10" width="50" customWidth="1"/>
  </cols>
  <sheetData>
    <row r="1" spans="1:7" ht="21" x14ac:dyDescent="0.35">
      <c r="C1" s="29"/>
      <c r="E1" s="29"/>
    </row>
    <row r="2" spans="1:7" ht="21" x14ac:dyDescent="0.5">
      <c r="A2" s="30" t="s">
        <v>275</v>
      </c>
      <c r="B2" s="13" t="s">
        <v>276</v>
      </c>
      <c r="C2" s="25" t="s">
        <v>277</v>
      </c>
      <c r="D2" s="25" t="s">
        <v>274</v>
      </c>
      <c r="E2" s="25" t="s">
        <v>87</v>
      </c>
      <c r="F2" s="25" t="s">
        <v>86</v>
      </c>
    </row>
    <row r="3" spans="1:7" ht="18.5" x14ac:dyDescent="0.45">
      <c r="A3" s="32" t="s">
        <v>278</v>
      </c>
      <c r="B3" s="14" t="s">
        <v>278</v>
      </c>
      <c r="C3" s="33"/>
      <c r="D3" s="37"/>
      <c r="E3" s="38"/>
      <c r="F3" s="36"/>
    </row>
    <row r="4" spans="1:7" ht="18.5" x14ac:dyDescent="0.45">
      <c r="A4" s="31"/>
      <c r="B4" s="14"/>
      <c r="C4" s="33"/>
      <c r="D4" s="34"/>
      <c r="E4" s="35"/>
      <c r="F4" s="36"/>
    </row>
    <row r="5" spans="1:7" ht="18.5" x14ac:dyDescent="0.45">
      <c r="A5" s="31"/>
      <c r="B5" s="14"/>
      <c r="C5" s="33"/>
      <c r="D5" s="34"/>
      <c r="E5" s="35"/>
      <c r="F5" s="36"/>
    </row>
    <row r="6" spans="1:7" ht="18.5" x14ac:dyDescent="0.45">
      <c r="B6" s="14" t="s">
        <v>55</v>
      </c>
      <c r="C6" s="33"/>
      <c r="D6" s="34"/>
      <c r="E6" s="35"/>
      <c r="F6" s="36"/>
    </row>
    <row r="7" spans="1:7" ht="18.5" x14ac:dyDescent="0.45">
      <c r="A7" t="s">
        <v>279</v>
      </c>
      <c r="B7" s="15" t="s">
        <v>280</v>
      </c>
      <c r="C7" s="33"/>
      <c r="D7" s="34"/>
      <c r="E7" s="35"/>
      <c r="F7" s="36"/>
    </row>
    <row r="8" spans="1:7" ht="18.5" x14ac:dyDescent="0.45">
      <c r="A8" t="s">
        <v>279</v>
      </c>
      <c r="B8" s="15" t="s">
        <v>281</v>
      </c>
      <c r="C8" s="33"/>
      <c r="D8" s="34"/>
      <c r="E8" s="35"/>
      <c r="F8" s="36"/>
    </row>
    <row r="9" spans="1:7" ht="18.5" x14ac:dyDescent="0.45">
      <c r="A9" t="s">
        <v>55</v>
      </c>
      <c r="B9" s="15" t="s">
        <v>282</v>
      </c>
      <c r="C9" s="33">
        <f>1515/8*0</f>
        <v>0</v>
      </c>
      <c r="D9" s="34"/>
      <c r="E9" s="35"/>
      <c r="F9" s="36"/>
    </row>
    <row r="10" spans="1:7" ht="18.5" x14ac:dyDescent="0.45">
      <c r="A10" t="s">
        <v>7</v>
      </c>
      <c r="B10" s="15" t="s">
        <v>283</v>
      </c>
      <c r="C10" s="33"/>
      <c r="D10" s="34"/>
      <c r="E10" s="35"/>
      <c r="F10" s="36"/>
    </row>
    <row r="11" spans="1:7" ht="18.5" x14ac:dyDescent="0.45">
      <c r="A11" t="s">
        <v>55</v>
      </c>
      <c r="B11" s="15" t="s">
        <v>284</v>
      </c>
      <c r="C11" s="33"/>
      <c r="D11" s="34"/>
      <c r="E11" s="35"/>
      <c r="F11" s="36"/>
    </row>
    <row r="12" spans="1:7" ht="18.5" x14ac:dyDescent="0.45">
      <c r="A12" t="s">
        <v>55</v>
      </c>
      <c r="B12" t="s">
        <v>55</v>
      </c>
      <c r="C12" s="33"/>
      <c r="D12" s="28"/>
      <c r="E12" s="35"/>
      <c r="F12" s="36"/>
      <c r="G12" s="28">
        <f>282+179+1410</f>
        <v>1871</v>
      </c>
    </row>
    <row r="13" spans="1:7" ht="18.5" x14ac:dyDescent="0.45">
      <c r="B13" s="15"/>
      <c r="C13" s="33"/>
      <c r="D13" s="34"/>
      <c r="E13" s="35"/>
      <c r="F13" s="36"/>
    </row>
    <row r="14" spans="1:7" ht="18.5" x14ac:dyDescent="0.45">
      <c r="B14" s="15"/>
      <c r="C14" s="33"/>
      <c r="D14" s="34"/>
      <c r="E14" s="35"/>
      <c r="F14" s="36"/>
    </row>
    <row r="15" spans="1:7" ht="18.5" x14ac:dyDescent="0.45">
      <c r="B15" s="14" t="s">
        <v>285</v>
      </c>
      <c r="C15" s="33"/>
      <c r="D15" s="34"/>
      <c r="E15" s="35"/>
      <c r="F15" s="36"/>
    </row>
    <row r="16" spans="1:7" ht="18.5" x14ac:dyDescent="0.45">
      <c r="B16" s="15" t="s">
        <v>286</v>
      </c>
      <c r="C16" s="33"/>
      <c r="D16" s="34"/>
      <c r="E16" s="35"/>
      <c r="F16" s="36"/>
      <c r="G16" s="27"/>
    </row>
    <row r="17" spans="1:6" ht="18.5" x14ac:dyDescent="0.45">
      <c r="B17" s="15" t="s">
        <v>287</v>
      </c>
      <c r="C17" s="33"/>
      <c r="D17" s="34"/>
      <c r="E17" s="35"/>
      <c r="F17" s="36"/>
    </row>
    <row r="18" spans="1:6" ht="18.5" x14ac:dyDescent="0.45">
      <c r="B18" s="15"/>
      <c r="C18" s="26"/>
      <c r="D18" s="34"/>
      <c r="E18" s="35"/>
      <c r="F18" s="36"/>
    </row>
    <row r="19" spans="1:6" ht="18.5" x14ac:dyDescent="0.45">
      <c r="C19" s="26"/>
      <c r="D19" s="34"/>
      <c r="E19" s="35"/>
      <c r="F19" s="36"/>
    </row>
    <row r="20" spans="1:6" ht="18.5" x14ac:dyDescent="0.45">
      <c r="C20" s="26"/>
      <c r="D20" s="34"/>
      <c r="E20" s="35"/>
      <c r="F20" s="36"/>
    </row>
    <row r="21" spans="1:6" ht="18.5" x14ac:dyDescent="0.45">
      <c r="C21" s="26"/>
      <c r="D21" s="34"/>
      <c r="E21" s="35"/>
      <c r="F21" s="36"/>
    </row>
    <row r="22" spans="1:6" ht="17" x14ac:dyDescent="0.4">
      <c r="A22" t="s">
        <v>43</v>
      </c>
      <c r="B22" s="15" t="s">
        <v>288</v>
      </c>
      <c r="C22" s="26"/>
      <c r="D22" s="28">
        <f>C22*11</f>
        <v>0</v>
      </c>
      <c r="E22" s="35"/>
      <c r="F22" s="36"/>
    </row>
    <row r="23" spans="1:6" ht="18.5" x14ac:dyDescent="0.45">
      <c r="A23" t="s">
        <v>289</v>
      </c>
      <c r="B23" s="15" t="s">
        <v>290</v>
      </c>
      <c r="C23" s="26"/>
      <c r="D23" s="34">
        <f>C23*12</f>
        <v>0</v>
      </c>
      <c r="E23" s="35"/>
      <c r="F23" s="36"/>
    </row>
    <row r="24" spans="1:6" ht="17.5" thickBot="1" x14ac:dyDescent="0.45">
      <c r="A24" t="s">
        <v>43</v>
      </c>
      <c r="B24" s="268" t="s">
        <v>291</v>
      </c>
      <c r="C24" s="269"/>
      <c r="D24" s="270">
        <f>C24*12</f>
        <v>0</v>
      </c>
      <c r="E24" s="271"/>
      <c r="F24" s="181"/>
    </row>
    <row r="25" spans="1:6" ht="18.5" x14ac:dyDescent="0.45">
      <c r="A25" s="275" t="s">
        <v>57</v>
      </c>
      <c r="B25" s="276" t="s">
        <v>292</v>
      </c>
      <c r="C25" s="277"/>
      <c r="D25" s="278">
        <f>C25*12</f>
        <v>0</v>
      </c>
      <c r="E25" s="279"/>
      <c r="F25" s="280"/>
    </row>
    <row r="26" spans="1:6" ht="18.5" x14ac:dyDescent="0.45">
      <c r="A26" s="206" t="s">
        <v>57</v>
      </c>
      <c r="B26" s="15" t="s">
        <v>293</v>
      </c>
      <c r="C26" s="26"/>
      <c r="D26" s="34"/>
      <c r="E26" s="35"/>
      <c r="F26" s="281"/>
    </row>
    <row r="27" spans="1:6" ht="18.5" x14ac:dyDescent="0.45">
      <c r="A27" s="206" t="s">
        <v>57</v>
      </c>
      <c r="B27" s="15" t="s">
        <v>294</v>
      </c>
      <c r="C27" s="33"/>
      <c r="D27" s="34"/>
      <c r="E27" s="35"/>
      <c r="F27" s="281"/>
    </row>
    <row r="28" spans="1:6" ht="18.5" x14ac:dyDescent="0.45">
      <c r="A28" s="206" t="s">
        <v>57</v>
      </c>
      <c r="B28" s="15" t="s">
        <v>295</v>
      </c>
      <c r="C28" s="26"/>
      <c r="D28" s="34">
        <v>0</v>
      </c>
      <c r="E28" s="35"/>
      <c r="F28" s="281"/>
    </row>
    <row r="29" spans="1:6" ht="18.5" x14ac:dyDescent="0.45">
      <c r="A29" s="206" t="s">
        <v>57</v>
      </c>
      <c r="B29" s="15" t="s">
        <v>296</v>
      </c>
      <c r="C29" s="33"/>
      <c r="D29" s="34"/>
      <c r="E29" s="35"/>
      <c r="F29" s="281"/>
    </row>
    <row r="30" spans="1:6" ht="17" x14ac:dyDescent="0.4">
      <c r="A30" s="206" t="s">
        <v>57</v>
      </c>
      <c r="B30" s="84" t="s">
        <v>297</v>
      </c>
      <c r="C30" s="282"/>
      <c r="D30" s="87">
        <f>C30*12</f>
        <v>0</v>
      </c>
      <c r="E30" s="85"/>
      <c r="F30" s="283"/>
    </row>
    <row r="31" spans="1:6" ht="17" x14ac:dyDescent="0.4">
      <c r="A31" s="206" t="s">
        <v>57</v>
      </c>
      <c r="B31" s="84" t="s">
        <v>298</v>
      </c>
      <c r="C31" s="284"/>
      <c r="D31" s="87">
        <f>C31*12</f>
        <v>0</v>
      </c>
      <c r="E31" s="85"/>
      <c r="F31" s="283"/>
    </row>
    <row r="32" spans="1:6" ht="18.5" x14ac:dyDescent="0.45">
      <c r="A32" s="206" t="s">
        <v>57</v>
      </c>
      <c r="B32" s="15" t="s">
        <v>299</v>
      </c>
      <c r="C32" s="33"/>
      <c r="D32" s="34"/>
      <c r="E32" s="35"/>
      <c r="F32" s="285"/>
    </row>
    <row r="33" spans="1:6" ht="19" thickBot="1" x14ac:dyDescent="0.5">
      <c r="A33" s="286" t="s">
        <v>57</v>
      </c>
      <c r="B33" s="287" t="s">
        <v>300</v>
      </c>
      <c r="C33" s="288"/>
      <c r="D33" s="289"/>
      <c r="E33" s="290"/>
      <c r="F33" s="291"/>
    </row>
    <row r="34" spans="1:6" ht="18.5" x14ac:dyDescent="0.45">
      <c r="A34" t="s">
        <v>301</v>
      </c>
      <c r="B34" s="39" t="s">
        <v>302</v>
      </c>
      <c r="C34" s="272"/>
      <c r="D34" s="273"/>
      <c r="E34" s="274"/>
      <c r="F34" s="184"/>
    </row>
    <row r="35" spans="1:6" ht="18.5" x14ac:dyDescent="0.45">
      <c r="A35" t="s">
        <v>301</v>
      </c>
      <c r="B35" s="39" t="s">
        <v>303</v>
      </c>
      <c r="C35" s="33"/>
      <c r="D35" s="34"/>
      <c r="E35" s="35"/>
      <c r="F35" s="36"/>
    </row>
    <row r="36" spans="1:6" ht="18.5" x14ac:dyDescent="0.45">
      <c r="B36" s="15"/>
      <c r="C36" s="33"/>
      <c r="D36" s="34"/>
      <c r="E36" s="35"/>
      <c r="F36" s="36"/>
    </row>
    <row r="37" spans="1:6" ht="18.5" x14ac:dyDescent="0.45">
      <c r="A37" t="s">
        <v>56</v>
      </c>
      <c r="B37" s="14" t="s">
        <v>56</v>
      </c>
      <c r="C37" s="33"/>
      <c r="D37" s="34"/>
      <c r="E37" s="35"/>
      <c r="F37" s="36"/>
    </row>
    <row r="38" spans="1:6" ht="18.5" x14ac:dyDescent="0.45">
      <c r="A38" t="s">
        <v>53</v>
      </c>
      <c r="B38" s="14" t="s">
        <v>53</v>
      </c>
      <c r="C38" s="33"/>
      <c r="D38" s="34"/>
      <c r="E38" s="35"/>
      <c r="F38" s="36"/>
    </row>
    <row r="39" spans="1:6" ht="18.5" x14ac:dyDescent="0.45">
      <c r="A39" t="s">
        <v>54</v>
      </c>
      <c r="B39" s="14" t="s">
        <v>54</v>
      </c>
      <c r="C39" s="26"/>
      <c r="D39" s="34">
        <f>C39*12</f>
        <v>0</v>
      </c>
      <c r="E39" s="35"/>
      <c r="F39" s="36"/>
    </row>
    <row r="40" spans="1:6" ht="18.5" x14ac:dyDescent="0.45">
      <c r="A40" t="s">
        <v>54</v>
      </c>
      <c r="B40" s="14" t="s">
        <v>304</v>
      </c>
      <c r="C40" s="33"/>
      <c r="D40" s="34"/>
      <c r="E40" s="35"/>
      <c r="F40" s="36"/>
    </row>
    <row r="41" spans="1:6" ht="18.5" x14ac:dyDescent="0.45">
      <c r="B41" s="14"/>
      <c r="C41" s="33"/>
      <c r="D41" s="34"/>
      <c r="E41" s="35"/>
      <c r="F41" s="36"/>
    </row>
    <row r="42" spans="1:6" ht="18.5" x14ac:dyDescent="0.45">
      <c r="B42" s="14" t="s">
        <v>305</v>
      </c>
      <c r="C42" s="33"/>
      <c r="D42" s="34"/>
      <c r="E42" s="35"/>
      <c r="F42" s="36"/>
    </row>
    <row r="43" spans="1:6" ht="18.5" x14ac:dyDescent="0.45">
      <c r="B43" s="15"/>
      <c r="C43" s="33"/>
      <c r="D43" s="34"/>
      <c r="E43" s="35"/>
      <c r="F43" s="36"/>
    </row>
    <row r="44" spans="1:6" ht="18.5" x14ac:dyDescent="0.45">
      <c r="A44" t="s">
        <v>306</v>
      </c>
      <c r="B44" s="15" t="s">
        <v>51</v>
      </c>
      <c r="C44" s="33"/>
      <c r="D44" s="34">
        <f>C44*12</f>
        <v>0</v>
      </c>
      <c r="E44" s="35"/>
      <c r="F44" s="36"/>
    </row>
    <row r="45" spans="1:6" ht="18.5" x14ac:dyDescent="0.45">
      <c r="A45" t="s">
        <v>306</v>
      </c>
      <c r="B45" s="15" t="s">
        <v>52</v>
      </c>
      <c r="C45" s="33"/>
      <c r="D45" s="34"/>
      <c r="E45" s="35"/>
      <c r="F45" s="36"/>
    </row>
    <row r="46" spans="1:6" ht="18.5" x14ac:dyDescent="0.45">
      <c r="C46" s="33"/>
      <c r="D46" s="34"/>
      <c r="E46" s="35"/>
      <c r="F46" s="36"/>
    </row>
    <row r="47" spans="1:6" ht="18.5" x14ac:dyDescent="0.45">
      <c r="A47" s="15" t="s">
        <v>307</v>
      </c>
      <c r="B47" s="15" t="s">
        <v>307</v>
      </c>
      <c r="C47" s="33"/>
      <c r="D47" s="34">
        <f>C47*12</f>
        <v>0</v>
      </c>
      <c r="E47" s="35"/>
      <c r="F47" s="36"/>
    </row>
    <row r="48" spans="1:6" ht="18.5" x14ac:dyDescent="0.45">
      <c r="A48" t="s">
        <v>308</v>
      </c>
      <c r="B48" s="40" t="s">
        <v>309</v>
      </c>
      <c r="C48" s="33"/>
      <c r="D48" s="34"/>
      <c r="E48" s="35"/>
      <c r="F48" s="36"/>
    </row>
    <row r="49" spans="1:6" ht="18.5" x14ac:dyDescent="0.45">
      <c r="B49" s="15"/>
      <c r="C49" s="33"/>
      <c r="D49" s="34"/>
      <c r="E49" s="35"/>
      <c r="F49" s="36"/>
    </row>
    <row r="50" spans="1:6" ht="18.5" x14ac:dyDescent="0.45">
      <c r="B50" s="15"/>
      <c r="C50" s="33"/>
      <c r="D50" s="34"/>
      <c r="E50" s="35"/>
      <c r="F50" s="36"/>
    </row>
    <row r="51" spans="1:6" ht="18.5" x14ac:dyDescent="0.45">
      <c r="B51" s="15"/>
      <c r="C51" s="33"/>
      <c r="D51" s="34"/>
      <c r="E51" s="35"/>
      <c r="F51" s="36"/>
    </row>
    <row r="52" spans="1:6" ht="18.5" x14ac:dyDescent="0.45">
      <c r="B52" s="41" t="s">
        <v>310</v>
      </c>
      <c r="C52" s="33"/>
      <c r="D52" s="34"/>
      <c r="E52" s="35"/>
      <c r="F52" s="36"/>
    </row>
    <row r="53" spans="1:6" ht="18.5" x14ac:dyDescent="0.45">
      <c r="A53" t="s">
        <v>49</v>
      </c>
      <c r="B53" t="s">
        <v>49</v>
      </c>
      <c r="C53" s="33"/>
      <c r="D53" s="34"/>
      <c r="E53" s="35"/>
      <c r="F53" s="36"/>
    </row>
    <row r="54" spans="1:6" ht="17" x14ac:dyDescent="0.4">
      <c r="B54" s="17"/>
      <c r="C54" s="26"/>
      <c r="D54" s="28"/>
      <c r="E54" s="35"/>
      <c r="F54" s="36"/>
    </row>
    <row r="55" spans="1:6" ht="17" x14ac:dyDescent="0.4">
      <c r="C55" s="26"/>
      <c r="D55" s="28"/>
      <c r="E55" s="35"/>
      <c r="F55" s="36"/>
    </row>
    <row r="56" spans="1:6" ht="17.5" thickBot="1" x14ac:dyDescent="0.45">
      <c r="B56" s="15"/>
      <c r="C56" s="26"/>
      <c r="D56" s="28">
        <f t="shared" ref="D56" si="0">C56*12</f>
        <v>0</v>
      </c>
      <c r="E56" s="35"/>
      <c r="F56" s="36"/>
    </row>
    <row r="57" spans="1:6" ht="21.5" thickBot="1" x14ac:dyDescent="0.55000000000000004">
      <c r="B57" s="42" t="s">
        <v>0</v>
      </c>
      <c r="C57" s="43">
        <f>SUM(C3:C56)</f>
        <v>0</v>
      </c>
      <c r="D57" s="43">
        <f>SUM(D3:D56)</f>
        <v>0</v>
      </c>
      <c r="E57" s="42"/>
      <c r="F57" s="42"/>
    </row>
    <row r="58" spans="1:6" ht="17" x14ac:dyDescent="0.4">
      <c r="B58" s="40"/>
      <c r="E58" s="44"/>
    </row>
    <row r="59" spans="1:6" ht="17" x14ac:dyDescent="0.4">
      <c r="B59" s="40"/>
      <c r="E59" s="44"/>
    </row>
  </sheetData>
  <conditionalFormatting sqref="E3:E56">
    <cfRule type="containsText" dxfId="1" priority="1" operator="containsText" text="Grant">
      <formula>NOT(ISERROR(SEARCH("Grant",E3)))</formula>
    </cfRule>
  </conditionalFormatting>
  <conditionalFormatting sqref="E58:E59">
    <cfRule type="containsText" dxfId="0" priority="2" operator="containsText" text="Grant">
      <formula>NOT(ISERROR(SEARCH("Grant",E58)))</formula>
    </cfRule>
  </conditionalFormatting>
  <dataValidations disablePrompts="1" count="1">
    <dataValidation type="list" allowBlank="1" showInputMessage="1" showErrorMessage="1" prompt="Select funding source" sqref="E56 E58:E59" xr:uid="{9CA6A83C-3812-4CE7-BB9E-7963F7CEE089}">
      <formula1>"Operating,ESSER III"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3B1E5-B5D8-4A1F-BDC7-D93C5536036A}">
  <sheetPr>
    <tabColor rgb="FF00B050"/>
  </sheetPr>
  <dimension ref="A1:O91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12" sqref="K12"/>
    </sheetView>
  </sheetViews>
  <sheetFormatPr defaultRowHeight="14.5" x14ac:dyDescent="0.35"/>
  <cols>
    <col min="1" max="1" width="60.81640625" bestFit="1" customWidth="1"/>
    <col min="2" max="2" width="17.453125" style="101" customWidth="1"/>
    <col min="3" max="4" width="15.1796875" style="109" customWidth="1"/>
    <col min="5" max="5" width="12.54296875" style="109" customWidth="1"/>
    <col min="6" max="6" width="15.453125" style="47" customWidth="1"/>
    <col min="7" max="7" width="4.36328125" style="47" bestFit="1" customWidth="1"/>
    <col min="8" max="9" width="15.453125" style="47" customWidth="1"/>
    <col min="10" max="10" width="4.6328125" style="47" customWidth="1"/>
    <col min="11" max="11" width="79.6328125" bestFit="1" customWidth="1"/>
    <col min="12" max="12" width="12.81640625" customWidth="1"/>
    <col min="13" max="13" width="8.1796875" customWidth="1"/>
    <col min="14" max="14" width="11.54296875" bestFit="1" customWidth="1"/>
    <col min="15" max="15" width="10.54296875" bestFit="1" customWidth="1"/>
  </cols>
  <sheetData>
    <row r="1" spans="1:15" ht="45.75" customHeight="1" x14ac:dyDescent="0.35">
      <c r="A1" s="10" t="s">
        <v>346</v>
      </c>
      <c r="B1" s="108" t="s">
        <v>3</v>
      </c>
      <c r="C1" s="201" t="s">
        <v>6</v>
      </c>
      <c r="D1" s="201" t="s">
        <v>393</v>
      </c>
      <c r="E1" s="108" t="s">
        <v>5</v>
      </c>
      <c r="F1" s="213" t="s">
        <v>0</v>
      </c>
      <c r="G1" s="213"/>
      <c r="H1" s="213" t="s">
        <v>515</v>
      </c>
      <c r="I1" s="314" t="s">
        <v>516</v>
      </c>
      <c r="J1" s="201" t="s">
        <v>523</v>
      </c>
      <c r="K1" s="86" t="s">
        <v>364</v>
      </c>
    </row>
    <row r="2" spans="1:15" ht="15" thickBot="1" x14ac:dyDescent="0.4">
      <c r="A2" s="9" t="s">
        <v>8</v>
      </c>
      <c r="B2" s="124">
        <v>367.68</v>
      </c>
      <c r="C2" s="124"/>
      <c r="D2" s="124"/>
      <c r="E2" s="124"/>
      <c r="F2" s="124">
        <f>B2</f>
        <v>367.68</v>
      </c>
      <c r="G2" s="312"/>
      <c r="H2" s="312"/>
      <c r="I2" s="312">
        <v>362</v>
      </c>
      <c r="J2" s="321"/>
    </row>
    <row r="3" spans="1:15" x14ac:dyDescent="0.35">
      <c r="A3" s="2" t="s">
        <v>10</v>
      </c>
      <c r="B3" s="101">
        <f>8290.24*B2</f>
        <v>3048155.4432000001</v>
      </c>
      <c r="F3" s="47">
        <f>SUM(B3:E3)</f>
        <v>3048155.4432000001</v>
      </c>
      <c r="H3" s="47">
        <f>F3/$B$2</f>
        <v>8290.24</v>
      </c>
      <c r="I3" s="47">
        <v>2456299.0499999998</v>
      </c>
      <c r="K3" t="s">
        <v>495</v>
      </c>
      <c r="O3" s="83"/>
    </row>
    <row r="4" spans="1:15" x14ac:dyDescent="0.35">
      <c r="A4" s="1" t="s">
        <v>11</v>
      </c>
      <c r="B4" s="101">
        <f>699.2*B2</f>
        <v>257081.85600000003</v>
      </c>
      <c r="F4" s="47">
        <f>SUM(B4:E4)</f>
        <v>257081.85600000003</v>
      </c>
      <c r="H4" s="47">
        <f t="shared" ref="H4:H67" si="0">F4/$B$2</f>
        <v>699.2</v>
      </c>
      <c r="I4" s="47">
        <v>194829</v>
      </c>
    </row>
    <row r="5" spans="1:15" ht="15" thickBot="1" x14ac:dyDescent="0.4">
      <c r="A5" s="2" t="s">
        <v>12</v>
      </c>
      <c r="B5" s="232"/>
      <c r="F5" s="47">
        <f>SUM(B5:E5)</f>
        <v>0</v>
      </c>
      <c r="H5" s="47">
        <f t="shared" si="0"/>
        <v>0</v>
      </c>
      <c r="I5" s="47">
        <v>28918</v>
      </c>
      <c r="K5" t="s">
        <v>357</v>
      </c>
    </row>
    <row r="6" spans="1:15" ht="15" thickBot="1" x14ac:dyDescent="0.4">
      <c r="A6" s="3" t="s">
        <v>9</v>
      </c>
      <c r="B6" s="110">
        <f>SUM(B3:B5)</f>
        <v>3305237.2992000002</v>
      </c>
      <c r="C6" s="110">
        <f>SUM(C3:C5)</f>
        <v>0</v>
      </c>
      <c r="D6" s="110">
        <f>SUM(D3:D5)</f>
        <v>0</v>
      </c>
      <c r="E6" s="110">
        <f>SUM(E3:E5)</f>
        <v>0</v>
      </c>
      <c r="F6" s="48">
        <f>SUM(F3:F5)</f>
        <v>3305237.2992000002</v>
      </c>
      <c r="G6" s="48"/>
      <c r="H6" s="48">
        <f t="shared" si="0"/>
        <v>8989.44</v>
      </c>
      <c r="I6" s="48">
        <f>SUM(I3:I5)</f>
        <v>2680046.0499999998</v>
      </c>
      <c r="J6" s="199"/>
    </row>
    <row r="7" spans="1:15" x14ac:dyDescent="0.35">
      <c r="A7" s="4"/>
      <c r="H7" s="47">
        <f t="shared" si="0"/>
        <v>0</v>
      </c>
    </row>
    <row r="8" spans="1:15" ht="29" x14ac:dyDescent="0.35">
      <c r="A8" s="1" t="s">
        <v>394</v>
      </c>
      <c r="F8" s="47">
        <f t="shared" ref="F8:F15" si="1">SUM(B8:E8)</f>
        <v>0</v>
      </c>
      <c r="H8" s="47">
        <f t="shared" si="0"/>
        <v>0</v>
      </c>
      <c r="I8" s="47">
        <v>3479.36</v>
      </c>
      <c r="K8" s="105" t="s">
        <v>365</v>
      </c>
    </row>
    <row r="9" spans="1:15" x14ac:dyDescent="0.35">
      <c r="A9" s="2" t="s">
        <v>15</v>
      </c>
      <c r="F9" s="47">
        <f t="shared" si="1"/>
        <v>0</v>
      </c>
      <c r="H9" s="47">
        <f t="shared" si="0"/>
        <v>0</v>
      </c>
    </row>
    <row r="10" spans="1:15" x14ac:dyDescent="0.35">
      <c r="A10" s="1" t="s">
        <v>4</v>
      </c>
      <c r="F10" s="47">
        <f t="shared" si="1"/>
        <v>0</v>
      </c>
      <c r="H10" s="47">
        <f t="shared" si="0"/>
        <v>0</v>
      </c>
      <c r="I10" s="47">
        <v>6093.75</v>
      </c>
    </row>
    <row r="11" spans="1:15" x14ac:dyDescent="0.35">
      <c r="A11" s="2" t="s">
        <v>5</v>
      </c>
      <c r="E11" s="109">
        <v>7000</v>
      </c>
      <c r="F11" s="47">
        <f t="shared" si="1"/>
        <v>7000</v>
      </c>
      <c r="H11" s="47">
        <f t="shared" si="0"/>
        <v>19.038294168842473</v>
      </c>
      <c r="K11" t="s">
        <v>358</v>
      </c>
    </row>
    <row r="12" spans="1:15" x14ac:dyDescent="0.35">
      <c r="A12" s="1" t="s">
        <v>16</v>
      </c>
      <c r="F12" s="47">
        <f t="shared" si="1"/>
        <v>0</v>
      </c>
      <c r="H12" s="47">
        <f t="shared" si="0"/>
        <v>0</v>
      </c>
    </row>
    <row r="13" spans="1:15" x14ac:dyDescent="0.35">
      <c r="A13" s="2" t="s">
        <v>17</v>
      </c>
      <c r="F13" s="47">
        <f t="shared" si="1"/>
        <v>0</v>
      </c>
      <c r="H13" s="47">
        <f t="shared" si="0"/>
        <v>0</v>
      </c>
    </row>
    <row r="14" spans="1:15" x14ac:dyDescent="0.35">
      <c r="A14" s="1" t="s">
        <v>18</v>
      </c>
      <c r="F14" s="47">
        <f t="shared" si="1"/>
        <v>0</v>
      </c>
      <c r="H14" s="47">
        <f t="shared" si="0"/>
        <v>0</v>
      </c>
    </row>
    <row r="15" spans="1:15" x14ac:dyDescent="0.35">
      <c r="A15" s="2" t="s">
        <v>19</v>
      </c>
      <c r="F15" s="47">
        <f t="shared" si="1"/>
        <v>0</v>
      </c>
      <c r="H15" s="47">
        <f t="shared" si="0"/>
        <v>0</v>
      </c>
    </row>
    <row r="16" spans="1:15" ht="15" thickBot="1" x14ac:dyDescent="0.4">
      <c r="A16" s="1" t="s">
        <v>20</v>
      </c>
      <c r="F16" s="47">
        <f>SUM(C16:E16)</f>
        <v>0</v>
      </c>
      <c r="H16" s="47">
        <f t="shared" si="0"/>
        <v>0</v>
      </c>
    </row>
    <row r="17" spans="1:12" ht="15" thickBot="1" x14ac:dyDescent="0.4">
      <c r="A17" s="5" t="s">
        <v>14</v>
      </c>
      <c r="B17" s="110">
        <f>SUM(B8:B16)</f>
        <v>0</v>
      </c>
      <c r="C17" s="110">
        <f>SUM(C8:C16)</f>
        <v>0</v>
      </c>
      <c r="D17" s="110">
        <f>SUM(D8:D16)</f>
        <v>0</v>
      </c>
      <c r="E17" s="48">
        <f>SUM(E8:E16)</f>
        <v>7000</v>
      </c>
      <c r="F17" s="48">
        <f t="shared" ref="F17:I17" si="2">SUM(F8:F16)</f>
        <v>7000</v>
      </c>
      <c r="G17" s="48"/>
      <c r="H17" s="48">
        <f t="shared" si="2"/>
        <v>19.038294168842473</v>
      </c>
      <c r="I17" s="48">
        <f t="shared" si="2"/>
        <v>9573.11</v>
      </c>
      <c r="J17" s="199"/>
    </row>
    <row r="18" spans="1:12" x14ac:dyDescent="0.35">
      <c r="A18" s="6"/>
      <c r="H18" s="47">
        <f t="shared" si="0"/>
        <v>0</v>
      </c>
      <c r="I18" s="47">
        <v>97197.6</v>
      </c>
      <c r="K18" s="294" t="s">
        <v>517</v>
      </c>
    </row>
    <row r="19" spans="1:12" x14ac:dyDescent="0.35">
      <c r="A19" s="2" t="s">
        <v>6</v>
      </c>
      <c r="C19" s="109">
        <v>528589</v>
      </c>
      <c r="F19" s="47">
        <f t="shared" ref="F19:F26" si="3">SUM(B19:E19)</f>
        <v>528589</v>
      </c>
      <c r="H19" s="47">
        <f t="shared" si="0"/>
        <v>1437.6332680591818</v>
      </c>
      <c r="I19" s="47">
        <v>415521</v>
      </c>
      <c r="K19" t="s">
        <v>514</v>
      </c>
      <c r="L19" s="228"/>
    </row>
    <row r="20" spans="1:12" x14ac:dyDescent="0.35">
      <c r="A20" s="1" t="s">
        <v>22</v>
      </c>
      <c r="B20" s="101">
        <f>LCIR!O2</f>
        <v>289943.0489600001</v>
      </c>
      <c r="F20" s="47">
        <f t="shared" si="3"/>
        <v>289943.0489600001</v>
      </c>
      <c r="H20" s="47">
        <f t="shared" si="0"/>
        <v>788.57443690165383</v>
      </c>
      <c r="I20" s="47">
        <v>153875</v>
      </c>
      <c r="K20" t="s">
        <v>514</v>
      </c>
    </row>
    <row r="21" spans="1:12" x14ac:dyDescent="0.35">
      <c r="A21" s="2" t="s">
        <v>23</v>
      </c>
      <c r="F21" s="47">
        <f t="shared" si="3"/>
        <v>0</v>
      </c>
      <c r="H21" s="47">
        <f t="shared" si="0"/>
        <v>0</v>
      </c>
    </row>
    <row r="22" spans="1:12" x14ac:dyDescent="0.35">
      <c r="A22" s="1" t="s">
        <v>345</v>
      </c>
      <c r="F22" s="47">
        <f t="shared" si="3"/>
        <v>0</v>
      </c>
      <c r="H22" s="47">
        <f t="shared" si="0"/>
        <v>0</v>
      </c>
    </row>
    <row r="23" spans="1:12" x14ac:dyDescent="0.35">
      <c r="A23" s="2" t="s">
        <v>347</v>
      </c>
      <c r="F23" s="47">
        <f t="shared" si="3"/>
        <v>0</v>
      </c>
      <c r="H23" s="47">
        <f t="shared" si="0"/>
        <v>0</v>
      </c>
    </row>
    <row r="24" spans="1:12" x14ac:dyDescent="0.35">
      <c r="A24" s="1" t="s">
        <v>24</v>
      </c>
      <c r="F24" s="47">
        <f t="shared" si="3"/>
        <v>0</v>
      </c>
      <c r="H24" s="47">
        <f t="shared" si="0"/>
        <v>0</v>
      </c>
    </row>
    <row r="25" spans="1:12" x14ac:dyDescent="0.35">
      <c r="A25" s="2" t="s">
        <v>25</v>
      </c>
      <c r="F25" s="47">
        <f t="shared" si="3"/>
        <v>0</v>
      </c>
      <c r="H25" s="47">
        <f t="shared" si="0"/>
        <v>0</v>
      </c>
      <c r="I25" s="47">
        <v>1560</v>
      </c>
    </row>
    <row r="26" spans="1:12" x14ac:dyDescent="0.35">
      <c r="A26" s="1" t="s">
        <v>314</v>
      </c>
      <c r="F26" s="47">
        <f t="shared" si="3"/>
        <v>0</v>
      </c>
      <c r="H26" s="47">
        <f t="shared" si="0"/>
        <v>0</v>
      </c>
      <c r="I26" s="47">
        <v>292014.53000000003</v>
      </c>
      <c r="K26" t="s">
        <v>363</v>
      </c>
    </row>
    <row r="27" spans="1:12" x14ac:dyDescent="0.35">
      <c r="A27" s="2" t="s">
        <v>362</v>
      </c>
      <c r="H27" s="47">
        <f t="shared" si="0"/>
        <v>0</v>
      </c>
      <c r="I27" s="47">
        <v>19091.150000000001</v>
      </c>
    </row>
    <row r="28" spans="1:12" x14ac:dyDescent="0.35">
      <c r="A28" s="1" t="s">
        <v>312</v>
      </c>
      <c r="B28" s="101">
        <v>151327</v>
      </c>
      <c r="F28" s="47">
        <f>B28</f>
        <v>151327</v>
      </c>
      <c r="H28" s="47">
        <f t="shared" si="0"/>
        <v>411.57256309834639</v>
      </c>
      <c r="K28" s="105" t="s">
        <v>366</v>
      </c>
    </row>
    <row r="29" spans="1:12" ht="15" thickBot="1" x14ac:dyDescent="0.4">
      <c r="A29" s="2" t="s">
        <v>313</v>
      </c>
      <c r="B29" s="101">
        <v>10000</v>
      </c>
      <c r="F29" s="47">
        <f>SUM(B29:E29)</f>
        <v>10000</v>
      </c>
      <c r="H29" s="47">
        <f t="shared" si="0"/>
        <v>27.197563098346389</v>
      </c>
      <c r="I29" s="47">
        <v>-5088.54</v>
      </c>
    </row>
    <row r="30" spans="1:12" ht="15" thickBot="1" x14ac:dyDescent="0.4">
      <c r="A30" s="7" t="s">
        <v>21</v>
      </c>
      <c r="B30" s="110">
        <f t="shared" ref="B30:H30" si="4">SUM(B19:B29)</f>
        <v>451270.0489600001</v>
      </c>
      <c r="C30" s="110">
        <f t="shared" si="4"/>
        <v>528589</v>
      </c>
      <c r="D30" s="110">
        <f t="shared" si="4"/>
        <v>0</v>
      </c>
      <c r="E30" s="110">
        <f t="shared" si="4"/>
        <v>0</v>
      </c>
      <c r="F30" s="48">
        <f t="shared" si="4"/>
        <v>979859.04896000004</v>
      </c>
      <c r="G30" s="48"/>
      <c r="H30" s="48">
        <f t="shared" si="4"/>
        <v>2664.9778311575287</v>
      </c>
      <c r="I30" s="48">
        <f>SUM(I18:I29)</f>
        <v>974170.74</v>
      </c>
      <c r="J30" s="199"/>
    </row>
    <row r="31" spans="1:12" ht="15" thickBot="1" x14ac:dyDescent="0.4">
      <c r="A31" s="4"/>
      <c r="H31" s="47">
        <f t="shared" si="0"/>
        <v>0</v>
      </c>
    </row>
    <row r="32" spans="1:12" ht="15" thickBot="1" x14ac:dyDescent="0.4">
      <c r="A32" s="7" t="s">
        <v>26</v>
      </c>
      <c r="B32" s="110">
        <f t="shared" ref="B32:I32" si="5">B30+B17+B6</f>
        <v>3756507.3481600005</v>
      </c>
      <c r="C32" s="110">
        <f t="shared" si="5"/>
        <v>528589</v>
      </c>
      <c r="D32" s="110">
        <f t="shared" si="5"/>
        <v>0</v>
      </c>
      <c r="E32" s="110">
        <f t="shared" si="5"/>
        <v>7000</v>
      </c>
      <c r="F32" s="48">
        <f t="shared" si="5"/>
        <v>4292096.3481600005</v>
      </c>
      <c r="G32" s="48"/>
      <c r="H32" s="48">
        <f t="shared" si="5"/>
        <v>11673.456125326371</v>
      </c>
      <c r="I32" s="48">
        <f t="shared" si="5"/>
        <v>3663789.9</v>
      </c>
      <c r="J32" s="199"/>
      <c r="L32" s="46"/>
    </row>
    <row r="33" spans="1:15" x14ac:dyDescent="0.35">
      <c r="A33" s="4"/>
      <c r="H33" s="47">
        <f t="shared" si="0"/>
        <v>0</v>
      </c>
    </row>
    <row r="34" spans="1:15" ht="21" customHeight="1" x14ac:dyDescent="0.35">
      <c r="A34" s="1" t="s">
        <v>27</v>
      </c>
      <c r="B34" s="101">
        <f>Staffing!AI2+Staffing!AI8-76970</f>
        <v>1225342.27</v>
      </c>
      <c r="C34" s="109">
        <f>152681</f>
        <v>152681</v>
      </c>
      <c r="F34" s="47">
        <f>SUM(B34:E34)</f>
        <v>1378023.27</v>
      </c>
      <c r="H34" s="47">
        <f t="shared" si="0"/>
        <v>3747.8874836814621</v>
      </c>
      <c r="I34" s="47">
        <v>897137.36999999976</v>
      </c>
      <c r="K34" s="105"/>
    </row>
    <row r="35" spans="1:15" x14ac:dyDescent="0.35">
      <c r="A35" s="2" t="s">
        <v>28</v>
      </c>
      <c r="C35" s="47"/>
      <c r="F35" s="47">
        <f>SUM(B35:E35)</f>
        <v>0</v>
      </c>
      <c r="H35" s="47">
        <f t="shared" si="0"/>
        <v>0</v>
      </c>
    </row>
    <row r="36" spans="1:15" x14ac:dyDescent="0.35">
      <c r="A36" s="1" t="s">
        <v>6</v>
      </c>
      <c r="C36" s="109">
        <f>Staffing!U33</f>
        <v>88934</v>
      </c>
      <c r="F36" s="47">
        <f>SUM(B36:E36)</f>
        <v>88934</v>
      </c>
      <c r="H36" s="47">
        <f t="shared" si="0"/>
        <v>241.87880765883375</v>
      </c>
      <c r="L36" s="228"/>
    </row>
    <row r="37" spans="1:15" x14ac:dyDescent="0.35">
      <c r="A37" s="2" t="s">
        <v>29</v>
      </c>
      <c r="B37" s="101">
        <f>Staffing!AI4+Staffing!AI10-C37</f>
        <v>0</v>
      </c>
      <c r="C37" s="109">
        <f>Staffing!V33+Staffing!S33</f>
        <v>38500</v>
      </c>
      <c r="F37" s="47">
        <f>SUM(B37:E37)</f>
        <v>38500</v>
      </c>
      <c r="H37" s="47">
        <f t="shared" si="0"/>
        <v>104.7106179286336</v>
      </c>
      <c r="I37" s="47">
        <v>4500</v>
      </c>
      <c r="K37" s="105"/>
    </row>
    <row r="38" spans="1:15" ht="15" thickBot="1" x14ac:dyDescent="0.4">
      <c r="A38" s="1" t="s">
        <v>30</v>
      </c>
      <c r="B38" s="101">
        <f>Staffing!AI20+Staffing!AI21+Staffing!AI22+Staffing!AI53</f>
        <v>249852.54925499999</v>
      </c>
      <c r="F38" s="47">
        <f>SUM(B38:E38)</f>
        <v>249852.54925499999</v>
      </c>
      <c r="H38" s="47">
        <f t="shared" si="0"/>
        <v>679.53804736455606</v>
      </c>
      <c r="I38" s="47">
        <v>161040.88999999998</v>
      </c>
      <c r="K38" s="105"/>
    </row>
    <row r="39" spans="1:15" ht="15" thickBot="1" x14ac:dyDescent="0.4">
      <c r="A39" s="5" t="s">
        <v>31</v>
      </c>
      <c r="B39" s="110">
        <f>SUM(B34:B38)</f>
        <v>1475194.819255</v>
      </c>
      <c r="C39" s="110">
        <f>SUM(C34:C38)</f>
        <v>280115</v>
      </c>
      <c r="D39" s="110">
        <f>SUM(D34:D38)</f>
        <v>0</v>
      </c>
      <c r="E39" s="110">
        <f>SUM(E34:E38)</f>
        <v>0</v>
      </c>
      <c r="F39" s="48">
        <f t="shared" ref="F39:I39" si="6">SUM(F34:F38)</f>
        <v>1755309.819255</v>
      </c>
      <c r="G39" s="317">
        <f>F39/F32</f>
        <v>0.4089632843418094</v>
      </c>
      <c r="H39" s="48">
        <f t="shared" si="6"/>
        <v>4774.0149566334858</v>
      </c>
      <c r="I39" s="48">
        <f t="shared" si="6"/>
        <v>1062678.2599999998</v>
      </c>
      <c r="J39" s="322">
        <f>I39/I32</f>
        <v>0.29004890809923345</v>
      </c>
    </row>
    <row r="40" spans="1:15" x14ac:dyDescent="0.35">
      <c r="A40" s="6"/>
      <c r="H40" s="47">
        <f t="shared" si="0"/>
        <v>0</v>
      </c>
      <c r="K40" s="86"/>
    </row>
    <row r="41" spans="1:15" x14ac:dyDescent="0.35">
      <c r="A41" s="2" t="s">
        <v>356</v>
      </c>
      <c r="B41" s="101">
        <f>(B3*0.18)</f>
        <v>548667.97977600002</v>
      </c>
      <c r="F41" s="47">
        <f t="shared" ref="F41:F56" si="7">SUM(B41:E41)</f>
        <v>548667.97977600002</v>
      </c>
      <c r="G41" s="318">
        <f>F41/F3</f>
        <v>0.18</v>
      </c>
      <c r="H41" s="47">
        <f t="shared" si="0"/>
        <v>1492.2432000000001</v>
      </c>
      <c r="I41" s="47">
        <v>634808.74</v>
      </c>
      <c r="J41" s="76">
        <f>I41/I3</f>
        <v>0.25844114542974728</v>
      </c>
      <c r="K41" s="105"/>
      <c r="O41" s="83"/>
    </row>
    <row r="42" spans="1:15" x14ac:dyDescent="0.35">
      <c r="A42" s="1" t="s">
        <v>33</v>
      </c>
      <c r="B42" s="101">
        <v>99178.90625</v>
      </c>
      <c r="F42" s="47">
        <f t="shared" si="7"/>
        <v>99178.90625</v>
      </c>
      <c r="G42" s="76">
        <f>F42/F3</f>
        <v>3.2537351883170522E-2</v>
      </c>
      <c r="H42" s="47">
        <f t="shared" si="0"/>
        <v>269.74245607593559</v>
      </c>
      <c r="I42" s="47">
        <v>126589.80999999998</v>
      </c>
      <c r="J42" s="76">
        <f>I42/I3</f>
        <v>5.1536806969819084E-2</v>
      </c>
    </row>
    <row r="43" spans="1:15" x14ac:dyDescent="0.35">
      <c r="A43" s="2" t="s">
        <v>34</v>
      </c>
      <c r="B43" s="101">
        <v>0</v>
      </c>
      <c r="F43" s="47">
        <f t="shared" si="7"/>
        <v>0</v>
      </c>
      <c r="H43" s="47">
        <f t="shared" si="0"/>
        <v>0</v>
      </c>
      <c r="I43" s="47">
        <v>4610.3500000000004</v>
      </c>
      <c r="J43" s="76"/>
      <c r="K43" s="105" t="s">
        <v>497</v>
      </c>
    </row>
    <row r="44" spans="1:15" x14ac:dyDescent="0.35">
      <c r="A44" s="1" t="s">
        <v>35</v>
      </c>
      <c r="B44" s="101">
        <f>'Expense Support'!C13-E44-C44</f>
        <v>93781.32</v>
      </c>
      <c r="C44" s="309">
        <v>5354</v>
      </c>
      <c r="E44" s="109">
        <v>7000</v>
      </c>
      <c r="F44" s="47">
        <f t="shared" si="7"/>
        <v>106135.32</v>
      </c>
      <c r="G44" s="76">
        <f>F44/$F$32</f>
        <v>2.4728084225206098E-2</v>
      </c>
      <c r="H44" s="47">
        <f t="shared" si="0"/>
        <v>288.66220626631855</v>
      </c>
      <c r="I44" s="47">
        <v>78583.5</v>
      </c>
      <c r="J44" s="76">
        <f>I44/$I$32</f>
        <v>2.1448691694903137E-2</v>
      </c>
      <c r="K44" s="105" t="s">
        <v>504</v>
      </c>
    </row>
    <row r="45" spans="1:15" x14ac:dyDescent="0.35">
      <c r="A45" s="2" t="s">
        <v>36</v>
      </c>
      <c r="B45" s="101">
        <v>0</v>
      </c>
      <c r="F45" s="47">
        <f t="shared" si="7"/>
        <v>0</v>
      </c>
      <c r="H45" s="47">
        <f t="shared" si="0"/>
        <v>0</v>
      </c>
      <c r="I45" s="47">
        <v>5613.45</v>
      </c>
      <c r="J45" s="76"/>
    </row>
    <row r="46" spans="1:15" x14ac:dyDescent="0.35">
      <c r="A46" s="1" t="s">
        <v>395</v>
      </c>
      <c r="B46" s="101">
        <f>'Expense Support'!C22-C46</f>
        <v>23196.998000000021</v>
      </c>
      <c r="C46" s="109">
        <v>133105.09</v>
      </c>
      <c r="F46" s="47">
        <f t="shared" si="7"/>
        <v>156302.08800000002</v>
      </c>
      <c r="G46" s="76">
        <f t="shared" ref="G46:G52" si="8">F46/$F$32</f>
        <v>3.6416258005719258E-2</v>
      </c>
      <c r="H46" s="47">
        <f t="shared" si="0"/>
        <v>425.10359007832903</v>
      </c>
      <c r="I46" s="47">
        <v>82057.100000000006</v>
      </c>
      <c r="J46" s="76">
        <f t="shared" ref="J46:J70" si="9">I46/$I$32</f>
        <v>2.2396780994456043E-2</v>
      </c>
    </row>
    <row r="47" spans="1:15" x14ac:dyDescent="0.35">
      <c r="A47" s="2" t="s">
        <v>37</v>
      </c>
      <c r="B47" s="313">
        <f>Technology!D5</f>
        <v>28573.439999999999</v>
      </c>
      <c r="F47" s="47">
        <f t="shared" si="7"/>
        <v>28573.439999999999</v>
      </c>
      <c r="G47" s="76">
        <f t="shared" si="8"/>
        <v>6.6572224111998987E-3</v>
      </c>
      <c r="H47" s="47">
        <f t="shared" si="0"/>
        <v>77.712793733681451</v>
      </c>
      <c r="I47" s="47">
        <v>33120</v>
      </c>
      <c r="J47" s="76">
        <f t="shared" si="9"/>
        <v>9.039819668698797E-3</v>
      </c>
      <c r="K47" s="266" t="s">
        <v>383</v>
      </c>
    </row>
    <row r="48" spans="1:15" x14ac:dyDescent="0.35">
      <c r="A48" s="1" t="s">
        <v>38</v>
      </c>
      <c r="B48" s="313">
        <f>Technology!D7</f>
        <v>19418.760000000002</v>
      </c>
      <c r="F48" s="47">
        <f t="shared" si="7"/>
        <v>19418.760000000002</v>
      </c>
      <c r="G48" s="76">
        <f t="shared" si="8"/>
        <v>4.5243066382525928E-3</v>
      </c>
      <c r="H48" s="47">
        <f t="shared" si="0"/>
        <v>52.814295039164499</v>
      </c>
      <c r="J48" s="76">
        <f t="shared" si="9"/>
        <v>0</v>
      </c>
      <c r="K48" s="266" t="s">
        <v>382</v>
      </c>
    </row>
    <row r="49" spans="1:12" x14ac:dyDescent="0.35">
      <c r="A49" s="2" t="s">
        <v>39</v>
      </c>
      <c r="B49" s="101">
        <f>Operations!D12</f>
        <v>44100.480000000003</v>
      </c>
      <c r="F49" s="47">
        <f t="shared" si="7"/>
        <v>44100.480000000003</v>
      </c>
      <c r="G49" s="76">
        <f t="shared" si="8"/>
        <v>1.0274811286308997E-2</v>
      </c>
      <c r="H49" s="47">
        <f t="shared" si="0"/>
        <v>119.9425587467363</v>
      </c>
      <c r="I49" s="47">
        <v>39264</v>
      </c>
      <c r="J49" s="76">
        <f t="shared" si="9"/>
        <v>1.0716771723182052E-2</v>
      </c>
    </row>
    <row r="50" spans="1:12" x14ac:dyDescent="0.35">
      <c r="A50" s="1" t="s">
        <v>40</v>
      </c>
      <c r="B50" s="101">
        <f>Operations!D26</f>
        <v>54223.32</v>
      </c>
      <c r="F50" s="47">
        <f t="shared" si="7"/>
        <v>54223.32</v>
      </c>
      <c r="G50" s="76">
        <f t="shared" si="8"/>
        <v>1.2633295154999318E-2</v>
      </c>
      <c r="H50" s="47">
        <f t="shared" si="0"/>
        <v>147.47421671018276</v>
      </c>
      <c r="I50" s="47">
        <v>39040.619999999995</v>
      </c>
      <c r="J50" s="76">
        <f t="shared" si="9"/>
        <v>1.0655802069873056E-2</v>
      </c>
    </row>
    <row r="51" spans="1:12" x14ac:dyDescent="0.35">
      <c r="A51" s="2" t="s">
        <v>41</v>
      </c>
      <c r="B51" s="101">
        <f>7800*1.03</f>
        <v>8034</v>
      </c>
      <c r="F51" s="47">
        <f t="shared" si="7"/>
        <v>8034</v>
      </c>
      <c r="G51" s="76">
        <f t="shared" si="8"/>
        <v>1.871812594198668E-3</v>
      </c>
      <c r="H51" s="47">
        <f t="shared" si="0"/>
        <v>21.850522193211489</v>
      </c>
      <c r="I51" s="47">
        <v>8666.49</v>
      </c>
      <c r="J51" s="76">
        <f t="shared" si="9"/>
        <v>2.365444044703546E-3</v>
      </c>
      <c r="K51" t="s">
        <v>504</v>
      </c>
    </row>
    <row r="52" spans="1:12" x14ac:dyDescent="0.35">
      <c r="A52" s="1" t="s">
        <v>42</v>
      </c>
      <c r="B52" s="101">
        <f>Operations!D29</f>
        <v>1440</v>
      </c>
      <c r="F52" s="47">
        <f t="shared" si="7"/>
        <v>1440</v>
      </c>
      <c r="G52" s="76">
        <f t="shared" si="8"/>
        <v>3.3550039029699798E-4</v>
      </c>
      <c r="H52" s="47">
        <f t="shared" si="0"/>
        <v>3.9164490861618799</v>
      </c>
      <c r="I52" s="47">
        <v>2220.4500000000003</v>
      </c>
      <c r="J52" s="76">
        <f t="shared" si="9"/>
        <v>6.0605276519813548E-4</v>
      </c>
      <c r="K52" t="s">
        <v>490</v>
      </c>
    </row>
    <row r="53" spans="1:12" x14ac:dyDescent="0.35">
      <c r="A53" s="2" t="s">
        <v>43</v>
      </c>
      <c r="F53" s="47">
        <f t="shared" si="7"/>
        <v>0</v>
      </c>
      <c r="H53" s="47">
        <f t="shared" si="0"/>
        <v>0</v>
      </c>
      <c r="I53" s="47">
        <v>3611.9799999999996</v>
      </c>
      <c r="J53" s="76">
        <f t="shared" si="9"/>
        <v>9.8585893257689249E-4</v>
      </c>
      <c r="K53" t="s">
        <v>428</v>
      </c>
    </row>
    <row r="54" spans="1:12" x14ac:dyDescent="0.35">
      <c r="A54" s="1" t="s">
        <v>44</v>
      </c>
      <c r="B54" s="101">
        <f>150000-C54</f>
        <v>39985</v>
      </c>
      <c r="C54" s="109">
        <v>110015</v>
      </c>
      <c r="F54" s="47">
        <f t="shared" si="7"/>
        <v>150000</v>
      </c>
      <c r="G54" s="76">
        <f t="shared" ref="G54:G56" si="10">F54/$F$32</f>
        <v>3.4947957322603959E-2</v>
      </c>
      <c r="H54" s="47">
        <f t="shared" si="0"/>
        <v>407.96344647519584</v>
      </c>
      <c r="I54" s="47">
        <v>107575.62</v>
      </c>
      <c r="J54" s="76">
        <f t="shared" si="9"/>
        <v>2.9361841954965811E-2</v>
      </c>
    </row>
    <row r="55" spans="1:12" x14ac:dyDescent="0.35">
      <c r="A55" s="2" t="s">
        <v>45</v>
      </c>
      <c r="B55" s="101">
        <v>33007.129999999997</v>
      </c>
      <c r="F55" s="47">
        <f t="shared" si="7"/>
        <v>33007.129999999997</v>
      </c>
      <c r="G55" s="76">
        <f t="shared" si="10"/>
        <v>7.6902118038776049E-3</v>
      </c>
      <c r="H55" s="47">
        <f t="shared" si="0"/>
        <v>89.771350087032189</v>
      </c>
      <c r="I55" s="47">
        <v>15570</v>
      </c>
      <c r="J55" s="76">
        <f t="shared" si="9"/>
        <v>4.2496978333828586E-3</v>
      </c>
      <c r="K55" t="s">
        <v>386</v>
      </c>
    </row>
    <row r="56" spans="1:12" x14ac:dyDescent="0.35">
      <c r="A56" s="1" t="s">
        <v>46</v>
      </c>
      <c r="B56" s="101">
        <f>450000*1.03</f>
        <v>463500</v>
      </c>
      <c r="F56" s="47">
        <f t="shared" si="7"/>
        <v>463500</v>
      </c>
      <c r="G56" s="76">
        <f t="shared" si="10"/>
        <v>0.10798918812684623</v>
      </c>
      <c r="H56" s="47">
        <f t="shared" si="0"/>
        <v>1260.6070496083551</v>
      </c>
      <c r="I56" s="47">
        <v>308831.49</v>
      </c>
      <c r="J56" s="76">
        <f t="shared" si="9"/>
        <v>8.4292903913513156E-2</v>
      </c>
      <c r="K56" t="s">
        <v>359</v>
      </c>
    </row>
    <row r="57" spans="1:12" x14ac:dyDescent="0.35">
      <c r="A57" s="2" t="s">
        <v>47</v>
      </c>
      <c r="F57" s="47">
        <f>SUM(C57:E57)</f>
        <v>0</v>
      </c>
      <c r="H57" s="47">
        <f t="shared" si="0"/>
        <v>0</v>
      </c>
      <c r="J57" s="76">
        <f t="shared" si="9"/>
        <v>0</v>
      </c>
    </row>
    <row r="58" spans="1:12" x14ac:dyDescent="0.35">
      <c r="A58" s="1" t="s">
        <v>353</v>
      </c>
      <c r="B58" s="101">
        <f>'Expense Support'!C33</f>
        <v>51120</v>
      </c>
      <c r="F58" s="47">
        <f t="shared" ref="F58:F69" si="11">SUM(B58:E58)</f>
        <v>51120</v>
      </c>
      <c r="G58" s="76">
        <f t="shared" ref="G58:G62" si="12">F58/$F$32</f>
        <v>1.1910263855543429E-2</v>
      </c>
      <c r="H58" s="47">
        <f t="shared" si="0"/>
        <v>139.03394255874673</v>
      </c>
      <c r="I58" s="47">
        <v>41137.5</v>
      </c>
      <c r="J58" s="76">
        <f t="shared" si="9"/>
        <v>1.1228127464405097E-2</v>
      </c>
      <c r="K58" s="244"/>
      <c r="L58" s="227"/>
    </row>
    <row r="59" spans="1:12" x14ac:dyDescent="0.35">
      <c r="A59" s="2" t="s">
        <v>48</v>
      </c>
      <c r="B59" s="101">
        <f>'Expense Support'!C42</f>
        <v>50310.226400000007</v>
      </c>
      <c r="F59" s="47">
        <f t="shared" si="11"/>
        <v>50310.226400000007</v>
      </c>
      <c r="G59" s="76">
        <f t="shared" si="12"/>
        <v>1.1721597634118288E-2</v>
      </c>
      <c r="H59" s="47">
        <f t="shared" si="0"/>
        <v>136.83155570060924</v>
      </c>
      <c r="I59" s="47">
        <v>41839.369999999995</v>
      </c>
      <c r="J59" s="76">
        <f t="shared" si="9"/>
        <v>1.1419696855433767E-2</v>
      </c>
    </row>
    <row r="60" spans="1:12" x14ac:dyDescent="0.35">
      <c r="A60" s="1" t="s">
        <v>49</v>
      </c>
      <c r="B60" s="101">
        <v>7500</v>
      </c>
      <c r="F60" s="47">
        <f t="shared" si="11"/>
        <v>7500</v>
      </c>
      <c r="G60" s="76">
        <f t="shared" si="12"/>
        <v>1.7473978661301979E-3</v>
      </c>
      <c r="H60" s="47">
        <f t="shared" si="0"/>
        <v>20.398172323759791</v>
      </c>
      <c r="I60" s="47">
        <v>4505.51</v>
      </c>
      <c r="J60" s="76">
        <f t="shared" si="9"/>
        <v>1.2297402752270267E-3</v>
      </c>
      <c r="K60" t="s">
        <v>358</v>
      </c>
    </row>
    <row r="61" spans="1:12" x14ac:dyDescent="0.35">
      <c r="A61" s="2" t="s">
        <v>50</v>
      </c>
      <c r="B61" s="101">
        <f>'Expense Support'!C54</f>
        <v>9795.2999999999993</v>
      </c>
      <c r="F61" s="47">
        <f t="shared" si="11"/>
        <v>9795.2999999999993</v>
      </c>
      <c r="G61" s="76">
        <f t="shared" si="12"/>
        <v>2.2821715090806834E-3</v>
      </c>
      <c r="H61" s="47">
        <f t="shared" si="0"/>
        <v>26.640828981723235</v>
      </c>
      <c r="I61" s="47">
        <v>6839.33</v>
      </c>
      <c r="J61" s="76">
        <f t="shared" si="9"/>
        <v>1.8667364086570575E-3</v>
      </c>
      <c r="K61" t="s">
        <v>505</v>
      </c>
    </row>
    <row r="62" spans="1:12" x14ac:dyDescent="0.35">
      <c r="A62" s="1" t="s">
        <v>51</v>
      </c>
      <c r="B62" s="101">
        <v>25000</v>
      </c>
      <c r="F62" s="47">
        <f t="shared" si="11"/>
        <v>25000</v>
      </c>
      <c r="G62" s="76">
        <f t="shared" si="12"/>
        <v>5.8246595537673265E-3</v>
      </c>
      <c r="H62" s="47">
        <f t="shared" si="0"/>
        <v>67.993907745865968</v>
      </c>
      <c r="I62" s="47">
        <v>28154.21</v>
      </c>
      <c r="J62" s="76">
        <f t="shared" si="9"/>
        <v>7.6844499189213881E-3</v>
      </c>
      <c r="K62" t="s">
        <v>513</v>
      </c>
      <c r="L62" s="82"/>
    </row>
    <row r="63" spans="1:12" x14ac:dyDescent="0.35">
      <c r="A63" s="2" t="s">
        <v>52</v>
      </c>
      <c r="F63" s="47">
        <f t="shared" si="11"/>
        <v>0</v>
      </c>
      <c r="H63" s="47">
        <f t="shared" si="0"/>
        <v>0</v>
      </c>
      <c r="J63" s="76">
        <f t="shared" si="9"/>
        <v>0</v>
      </c>
    </row>
    <row r="64" spans="1:12" ht="14.25" customHeight="1" x14ac:dyDescent="0.35">
      <c r="A64" s="1" t="s">
        <v>53</v>
      </c>
      <c r="B64" s="101">
        <v>12000</v>
      </c>
      <c r="F64" s="47">
        <f t="shared" si="11"/>
        <v>12000</v>
      </c>
      <c r="G64" s="76">
        <f t="shared" ref="G64:G67" si="13">F64/$F$32</f>
        <v>2.7958365858083167E-3</v>
      </c>
      <c r="H64" s="47">
        <f t="shared" si="0"/>
        <v>32.637075718015666</v>
      </c>
      <c r="I64" s="47">
        <v>14285.01</v>
      </c>
      <c r="J64" s="76">
        <f t="shared" si="9"/>
        <v>3.8989708443707433E-3</v>
      </c>
      <c r="K64" t="s">
        <v>434</v>
      </c>
    </row>
    <row r="65" spans="1:12" x14ac:dyDescent="0.35">
      <c r="A65" s="1" t="s">
        <v>54</v>
      </c>
      <c r="B65" s="101">
        <f>1400+10000</f>
        <v>11400</v>
      </c>
      <c r="F65" s="47">
        <f t="shared" si="11"/>
        <v>11400</v>
      </c>
      <c r="G65" s="76">
        <f t="shared" si="13"/>
        <v>2.656044756517901E-3</v>
      </c>
      <c r="H65" s="47">
        <f t="shared" si="0"/>
        <v>31.005221932114882</v>
      </c>
      <c r="I65" s="47">
        <v>104750</v>
      </c>
      <c r="J65" s="76">
        <f t="shared" si="9"/>
        <v>2.8590613233580888E-2</v>
      </c>
    </row>
    <row r="66" spans="1:12" x14ac:dyDescent="0.35">
      <c r="A66" s="2" t="s">
        <v>55</v>
      </c>
      <c r="B66" s="101">
        <f>'Expense Support'!C73</f>
        <v>14765</v>
      </c>
      <c r="F66" s="47">
        <f t="shared" si="11"/>
        <v>14765</v>
      </c>
      <c r="G66" s="76">
        <f t="shared" si="13"/>
        <v>3.4400439324549829E-3</v>
      </c>
      <c r="H66" s="47">
        <f t="shared" si="0"/>
        <v>40.157201914708445</v>
      </c>
      <c r="I66" s="47">
        <v>15445.599999999997</v>
      </c>
      <c r="J66" s="76">
        <f t="shared" si="9"/>
        <v>4.2157439213422136E-3</v>
      </c>
      <c r="K66" s="105" t="s">
        <v>431</v>
      </c>
      <c r="L66" s="82"/>
    </row>
    <row r="67" spans="1:12" x14ac:dyDescent="0.35">
      <c r="A67" s="1" t="s">
        <v>56</v>
      </c>
      <c r="B67" s="101">
        <v>15000</v>
      </c>
      <c r="F67" s="47">
        <f t="shared" si="11"/>
        <v>15000</v>
      </c>
      <c r="G67" s="76">
        <f t="shared" si="13"/>
        <v>3.4947957322603957E-3</v>
      </c>
      <c r="H67" s="47">
        <f t="shared" si="0"/>
        <v>40.796344647519582</v>
      </c>
      <c r="I67" s="47">
        <v>50305</v>
      </c>
      <c r="J67" s="76">
        <f t="shared" si="9"/>
        <v>1.3730317887496769E-2</v>
      </c>
      <c r="K67" t="s">
        <v>432</v>
      </c>
    </row>
    <row r="68" spans="1:12" x14ac:dyDescent="0.35">
      <c r="A68" s="2" t="s">
        <v>480</v>
      </c>
      <c r="B68" s="101">
        <v>0</v>
      </c>
      <c r="F68" s="47">
        <f t="shared" si="11"/>
        <v>0</v>
      </c>
      <c r="H68" s="47">
        <f>F68/$B$2</f>
        <v>0</v>
      </c>
      <c r="J68" s="76">
        <f t="shared" si="9"/>
        <v>0</v>
      </c>
      <c r="L68" s="82"/>
    </row>
    <row r="69" spans="1:12" ht="15" thickBot="1" x14ac:dyDescent="0.4">
      <c r="A69" s="11" t="s">
        <v>352</v>
      </c>
      <c r="B69" s="101">
        <v>5000</v>
      </c>
      <c r="F69" s="47">
        <f t="shared" si="11"/>
        <v>5000</v>
      </c>
      <c r="G69" s="76">
        <f>F69/$F$32</f>
        <v>1.1649319107534654E-3</v>
      </c>
      <c r="H69" s="47">
        <f>F69/$B$2</f>
        <v>13.598781549173195</v>
      </c>
      <c r="J69" s="76">
        <f t="shared" si="9"/>
        <v>0</v>
      </c>
    </row>
    <row r="70" spans="1:12" ht="15" thickBot="1" x14ac:dyDescent="0.4">
      <c r="A70" s="5" t="s">
        <v>32</v>
      </c>
      <c r="B70" s="110">
        <f t="shared" ref="B70:I70" si="14">SUM(B41:B69)</f>
        <v>1658997.8604260001</v>
      </c>
      <c r="C70" s="110">
        <f t="shared" si="14"/>
        <v>248474.09</v>
      </c>
      <c r="D70" s="110">
        <f t="shared" si="14"/>
        <v>0</v>
      </c>
      <c r="E70" s="110">
        <f t="shared" si="14"/>
        <v>7000</v>
      </c>
      <c r="F70" s="48">
        <f t="shared" si="14"/>
        <v>1914471.9504259999</v>
      </c>
      <c r="G70" s="317">
        <f>F70/$F$32</f>
        <v>0.44604589345873474</v>
      </c>
      <c r="H70" s="48">
        <f t="shared" si="14"/>
        <v>5206.8971671725412</v>
      </c>
      <c r="I70" s="48">
        <f t="shared" si="14"/>
        <v>1797425.13</v>
      </c>
      <c r="J70" s="322">
        <f t="shared" si="9"/>
        <v>0.49059175855034698</v>
      </c>
    </row>
    <row r="71" spans="1:12" ht="15" thickBot="1" x14ac:dyDescent="0.4">
      <c r="A71" s="6"/>
    </row>
    <row r="72" spans="1:12" ht="15" thickBot="1" x14ac:dyDescent="0.4">
      <c r="A72" s="5" t="s">
        <v>58</v>
      </c>
      <c r="B72" s="110">
        <f t="shared" ref="B72:I72" si="15">B70+B39</f>
        <v>3134192.6796810003</v>
      </c>
      <c r="C72" s="110">
        <f t="shared" si="15"/>
        <v>528589.09</v>
      </c>
      <c r="D72" s="110">
        <f t="shared" si="15"/>
        <v>0</v>
      </c>
      <c r="E72" s="110">
        <f t="shared" si="15"/>
        <v>7000</v>
      </c>
      <c r="F72" s="48">
        <f t="shared" si="15"/>
        <v>3669781.7696810002</v>
      </c>
      <c r="G72" s="317">
        <f>F72/$F$32</f>
        <v>0.8550091778005442</v>
      </c>
      <c r="H72" s="48">
        <f t="shared" si="15"/>
        <v>9980.912123806027</v>
      </c>
      <c r="I72" s="48">
        <f t="shared" si="15"/>
        <v>2860103.3899999997</v>
      </c>
      <c r="J72" s="322">
        <f>I72/$I$32</f>
        <v>0.78064066664958043</v>
      </c>
    </row>
    <row r="73" spans="1:12" ht="15" thickBot="1" x14ac:dyDescent="0.4">
      <c r="A73" s="6"/>
      <c r="J73" s="76"/>
    </row>
    <row r="74" spans="1:12" ht="15" thickBot="1" x14ac:dyDescent="0.4">
      <c r="A74" s="5" t="s">
        <v>59</v>
      </c>
      <c r="B74" s="110">
        <f t="shared" ref="B74:I74" si="16">B32-B72</f>
        <v>622314.66847900022</v>
      </c>
      <c r="C74" s="110">
        <f t="shared" si="16"/>
        <v>-8.999999996740371E-2</v>
      </c>
      <c r="D74" s="110">
        <f t="shared" si="16"/>
        <v>0</v>
      </c>
      <c r="E74" s="110">
        <f t="shared" si="16"/>
        <v>0</v>
      </c>
      <c r="F74" s="48">
        <f t="shared" si="16"/>
        <v>622314.57847900037</v>
      </c>
      <c r="G74" s="317">
        <f>F74/$F$32</f>
        <v>0.14499082219945583</v>
      </c>
      <c r="H74" s="48">
        <f t="shared" si="16"/>
        <v>1692.544001520344</v>
      </c>
      <c r="I74" s="48">
        <f t="shared" si="16"/>
        <v>803686.51000000024</v>
      </c>
      <c r="J74" s="322">
        <f>I74/$I$32</f>
        <v>0.21935933335041954</v>
      </c>
    </row>
    <row r="75" spans="1:12" x14ac:dyDescent="0.35">
      <c r="A75" s="6"/>
      <c r="H75" s="47">
        <f>F75/$B$2</f>
        <v>0</v>
      </c>
      <c r="I75" s="47">
        <f t="shared" ref="I75:I81" si="17">H75/$B$2</f>
        <v>0</v>
      </c>
      <c r="J75" s="76"/>
    </row>
    <row r="76" spans="1:12" x14ac:dyDescent="0.35">
      <c r="A76" s="2" t="s">
        <v>61</v>
      </c>
      <c r="B76" s="101">
        <f>Finance!D35</f>
        <v>0</v>
      </c>
      <c r="F76" s="47">
        <f>SUM(B76:E76)</f>
        <v>0</v>
      </c>
      <c r="H76" s="47">
        <f>F76/$B$2</f>
        <v>0</v>
      </c>
      <c r="I76" s="47">
        <v>616.55999999999995</v>
      </c>
      <c r="J76" s="76"/>
    </row>
    <row r="77" spans="1:12" ht="15" thickBot="1" x14ac:dyDescent="0.4">
      <c r="A77" s="1" t="s">
        <v>62</v>
      </c>
      <c r="B77" s="101">
        <v>0</v>
      </c>
      <c r="F77" s="47">
        <f>SUM(B77:E77)</f>
        <v>0</v>
      </c>
      <c r="H77" s="47">
        <f>F77/$B$2</f>
        <v>0</v>
      </c>
      <c r="I77" s="47">
        <f t="shared" si="17"/>
        <v>0</v>
      </c>
      <c r="J77" s="76"/>
    </row>
    <row r="78" spans="1:12" ht="15" thickBot="1" x14ac:dyDescent="0.4">
      <c r="A78" s="5" t="s">
        <v>60</v>
      </c>
      <c r="B78" s="110">
        <f>B74-B76-B77</f>
        <v>622314.66847900022</v>
      </c>
      <c r="C78" s="110">
        <f t="shared" ref="C78:H78" si="18">C74-C76-C77</f>
        <v>-8.999999996740371E-2</v>
      </c>
      <c r="D78" s="110">
        <f>D74-D76-D77</f>
        <v>0</v>
      </c>
      <c r="E78" s="110">
        <f>E74-E76-E77</f>
        <v>0</v>
      </c>
      <c r="F78" s="48">
        <f t="shared" si="18"/>
        <v>622314.57847900037</v>
      </c>
      <c r="G78" s="317">
        <f>F78/$F$32</f>
        <v>0.14499082219945583</v>
      </c>
      <c r="H78" s="48">
        <f t="shared" si="18"/>
        <v>1692.544001520344</v>
      </c>
      <c r="I78" s="48">
        <f t="shared" ref="I78" si="19">I74-I76-I77</f>
        <v>803069.95000000019</v>
      </c>
      <c r="J78" s="322">
        <f>I78/$I$32</f>
        <v>0.21919104859151453</v>
      </c>
    </row>
    <row r="79" spans="1:12" x14ac:dyDescent="0.35">
      <c r="A79" s="5" t="s">
        <v>63</v>
      </c>
      <c r="B79" s="307">
        <f>B78/B32</f>
        <v>0.165663104261947</v>
      </c>
      <c r="C79" s="307">
        <f>C78/C32</f>
        <v>-1.7026461006075366E-7</v>
      </c>
      <c r="D79" s="307"/>
      <c r="E79" s="307"/>
      <c r="F79" s="308">
        <f>F78/F32</f>
        <v>0.14499082219945583</v>
      </c>
      <c r="G79" s="308"/>
      <c r="H79" s="47">
        <f>F79/$B$2</f>
        <v>3.9433970354508223E-4</v>
      </c>
      <c r="I79" s="47">
        <f t="shared" si="17"/>
        <v>1.0725078969350583E-6</v>
      </c>
      <c r="J79" s="76"/>
    </row>
    <row r="80" spans="1:12" x14ac:dyDescent="0.35">
      <c r="A80" s="8"/>
      <c r="H80" s="47">
        <f>F80/$B$2</f>
        <v>0</v>
      </c>
      <c r="I80" s="47">
        <f t="shared" si="17"/>
        <v>0</v>
      </c>
      <c r="J80" s="76"/>
    </row>
    <row r="81" spans="1:13" x14ac:dyDescent="0.35">
      <c r="A81" s="1" t="s">
        <v>65</v>
      </c>
      <c r="B81" s="101">
        <f>Finance!D34</f>
        <v>0</v>
      </c>
      <c r="F81" s="47">
        <f>SUM(B81:E81)</f>
        <v>0</v>
      </c>
      <c r="H81" s="47">
        <f>F81/$B$2</f>
        <v>0</v>
      </c>
      <c r="I81" s="47">
        <f t="shared" si="17"/>
        <v>0</v>
      </c>
      <c r="J81" s="76"/>
    </row>
    <row r="82" spans="1:13" ht="15" thickBot="1" x14ac:dyDescent="0.4">
      <c r="A82" s="2" t="s">
        <v>66</v>
      </c>
      <c r="F82" s="47">
        <f>SUM(B82:E82)</f>
        <v>0</v>
      </c>
      <c r="H82" s="47">
        <f>F82/$B$2</f>
        <v>0</v>
      </c>
      <c r="I82" s="47">
        <v>79461.45</v>
      </c>
      <c r="J82" s="76"/>
      <c r="K82" s="105" t="s">
        <v>489</v>
      </c>
    </row>
    <row r="83" spans="1:13" x14ac:dyDescent="0.35">
      <c r="A83" s="5" t="s">
        <v>64</v>
      </c>
      <c r="B83" s="195">
        <f>B78-B81-B82</f>
        <v>622314.66847900022</v>
      </c>
      <c r="C83" s="195">
        <f t="shared" ref="C83:H83" si="20">C78-C81-C82</f>
        <v>-8.999999996740371E-2</v>
      </c>
      <c r="D83" s="195"/>
      <c r="E83" s="195">
        <f>E78-E81-E82</f>
        <v>0</v>
      </c>
      <c r="F83" s="196">
        <f t="shared" si="20"/>
        <v>622314.57847900037</v>
      </c>
      <c r="G83" s="320">
        <f>F83/$F$32</f>
        <v>0.14499082219945583</v>
      </c>
      <c r="H83" s="196">
        <f t="shared" si="20"/>
        <v>1692.544001520344</v>
      </c>
      <c r="I83" s="196">
        <f t="shared" ref="I83" si="21">I78-I81-I82</f>
        <v>723608.50000000023</v>
      </c>
      <c r="J83" s="322">
        <f>I83/$I$32</f>
        <v>0.19750272798120883</v>
      </c>
      <c r="M83" s="46"/>
    </row>
    <row r="84" spans="1:13" x14ac:dyDescent="0.35">
      <c r="A84" s="316" t="s">
        <v>518</v>
      </c>
      <c r="B84" s="198"/>
      <c r="C84" s="198"/>
      <c r="D84" s="198"/>
      <c r="E84" s="198"/>
      <c r="F84" s="199"/>
      <c r="G84" s="199"/>
      <c r="H84" s="199"/>
      <c r="I84" s="47">
        <v>29690</v>
      </c>
      <c r="J84" s="76"/>
      <c r="M84" s="46"/>
    </row>
    <row r="85" spans="1:13" x14ac:dyDescent="0.35">
      <c r="A85" s="200" t="s">
        <v>494</v>
      </c>
      <c r="B85" s="302">
        <f>851935.483870968/2</f>
        <v>425967.74193548399</v>
      </c>
      <c r="C85" s="185"/>
      <c r="D85" s="185"/>
      <c r="E85" s="185"/>
      <c r="F85" s="199">
        <f t="shared" ref="F85:F87" si="22">SUM(B85:E85)</f>
        <v>425967.74193548399</v>
      </c>
      <c r="G85" s="199"/>
      <c r="H85" s="47">
        <f>F85/$B$2</f>
        <v>1158.5284539150457</v>
      </c>
      <c r="J85" s="76"/>
    </row>
    <row r="86" spans="1:13" x14ac:dyDescent="0.35">
      <c r="A86" s="200" t="s">
        <v>503</v>
      </c>
      <c r="B86" s="185">
        <f>B85*0.06</f>
        <v>25558.064516129038</v>
      </c>
      <c r="C86" s="198"/>
      <c r="D86" s="198"/>
      <c r="E86" s="198"/>
      <c r="F86" s="199">
        <f t="shared" si="22"/>
        <v>25558.064516129038</v>
      </c>
      <c r="G86" s="199"/>
      <c r="H86" s="47">
        <f>F86/$B$2</f>
        <v>69.51170723490273</v>
      </c>
      <c r="J86" s="76"/>
    </row>
    <row r="87" spans="1:13" x14ac:dyDescent="0.35">
      <c r="A87" s="200" t="s">
        <v>311</v>
      </c>
      <c r="B87" s="198"/>
      <c r="C87" s="198"/>
      <c r="D87" s="198"/>
      <c r="E87" s="198"/>
      <c r="F87" s="199">
        <f t="shared" si="22"/>
        <v>0</v>
      </c>
      <c r="G87" s="199"/>
      <c r="H87" s="47">
        <f>F87/$B$2</f>
        <v>0</v>
      </c>
      <c r="J87" s="76"/>
    </row>
    <row r="88" spans="1:13" ht="15" thickBot="1" x14ac:dyDescent="0.4">
      <c r="A88" s="197" t="s">
        <v>67</v>
      </c>
      <c r="B88" s="315">
        <f>B83-B85</f>
        <v>196346.92654351622</v>
      </c>
      <c r="C88" s="315">
        <f t="shared" ref="C88:H88" si="23">C83-C85</f>
        <v>-8.999999996740371E-2</v>
      </c>
      <c r="D88" s="315">
        <f t="shared" si="23"/>
        <v>0</v>
      </c>
      <c r="E88" s="315">
        <f t="shared" si="23"/>
        <v>0</v>
      </c>
      <c r="F88" s="315">
        <f t="shared" si="23"/>
        <v>196346.83654351637</v>
      </c>
      <c r="G88" s="319">
        <f>F88/$F$32</f>
        <v>4.5746139093007371E-2</v>
      </c>
      <c r="H88" s="315">
        <f t="shared" si="23"/>
        <v>534.01554760529825</v>
      </c>
      <c r="I88" s="315">
        <f>I83-I84</f>
        <v>693918.50000000023</v>
      </c>
      <c r="J88" s="323">
        <f>I88/$I$32</f>
        <v>0.18939909736636379</v>
      </c>
    </row>
    <row r="89" spans="1:13" ht="15" thickTop="1" x14ac:dyDescent="0.35">
      <c r="B89" s="307">
        <f>B88/B32</f>
        <v>5.2268479293589083E-2</v>
      </c>
      <c r="C89" s="307">
        <f>C88/C32</f>
        <v>-1.7026461006075366E-7</v>
      </c>
      <c r="D89" s="307"/>
      <c r="E89" s="307"/>
      <c r="F89" s="308">
        <f>F88/F32</f>
        <v>4.5746139093007371E-2</v>
      </c>
      <c r="G89" s="308"/>
      <c r="H89" s="308">
        <f>H88/H32</f>
        <v>4.5746139093007301E-2</v>
      </c>
      <c r="I89" s="308">
        <f>I88/I32</f>
        <v>0.18939909736636379</v>
      </c>
      <c r="J89" s="308"/>
    </row>
    <row r="90" spans="1:13" x14ac:dyDescent="0.35">
      <c r="A90" s="120"/>
    </row>
    <row r="91" spans="1:13" x14ac:dyDescent="0.35">
      <c r="A91" s="194"/>
    </row>
  </sheetData>
  <conditionalFormatting sqref="A91">
    <cfRule type="cellIs" dxfId="5" priority="9" operator="between">
      <formula>$B$90</formula>
      <formula>#REF!</formula>
    </cfRule>
  </conditionalFormatting>
  <conditionalFormatting sqref="B91">
    <cfRule type="cellIs" dxfId="4" priority="13" operator="greaterThan">
      <formula>$B$90</formula>
    </cfRule>
    <cfRule type="cellIs" dxfId="3" priority="14" operator="lessThan">
      <formula>$B$90</formula>
    </cfRule>
    <cfRule type="cellIs" dxfId="2" priority="15" operator="between">
      <formula>$B$90</formula>
      <formula>$F$88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B14FE-1CD7-4A44-9C98-62133DB34271}">
  <sheetPr>
    <tabColor theme="3" tint="0.749992370372631"/>
  </sheetPr>
  <dimension ref="B3:B6"/>
  <sheetViews>
    <sheetView showGridLines="0" workbookViewId="0">
      <selection activeCell="B4" sqref="B4"/>
    </sheetView>
  </sheetViews>
  <sheetFormatPr defaultRowHeight="14.5" x14ac:dyDescent="0.35"/>
  <sheetData>
    <row r="3" spans="2:2" x14ac:dyDescent="0.35">
      <c r="B3" t="s">
        <v>522</v>
      </c>
    </row>
    <row r="4" spans="2:2" x14ac:dyDescent="0.35">
      <c r="B4" t="s">
        <v>519</v>
      </c>
    </row>
    <row r="5" spans="2:2" x14ac:dyDescent="0.35">
      <c r="B5" t="s">
        <v>520</v>
      </c>
    </row>
    <row r="6" spans="2:2" x14ac:dyDescent="0.35">
      <c r="B6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CF6E-CB57-471D-9D11-A67251370338}">
  <sheetPr>
    <tabColor theme="5" tint="0.59999389629810485"/>
  </sheetPr>
  <dimension ref="A1:D73"/>
  <sheetViews>
    <sheetView topLeftCell="A34" zoomScale="170" zoomScaleNormal="170" workbookViewId="0">
      <selection activeCell="A39" sqref="A39"/>
    </sheetView>
  </sheetViews>
  <sheetFormatPr defaultColWidth="13.81640625" defaultRowHeight="14.5" x14ac:dyDescent="0.35"/>
  <cols>
    <col min="1" max="1" width="39.81640625" bestFit="1" customWidth="1"/>
    <col min="4" max="4" width="37.54296875" bestFit="1" customWidth="1"/>
  </cols>
  <sheetData>
    <row r="1" spans="1:4" x14ac:dyDescent="0.35">
      <c r="A1" s="241" t="s">
        <v>439</v>
      </c>
    </row>
    <row r="2" spans="1:4" x14ac:dyDescent="0.35">
      <c r="A2" s="242"/>
    </row>
    <row r="3" spans="1:4" x14ac:dyDescent="0.35">
      <c r="A3" s="249" t="s">
        <v>440</v>
      </c>
      <c r="B3" s="246" t="s">
        <v>380</v>
      </c>
      <c r="C3" s="246" t="s">
        <v>381</v>
      </c>
    </row>
    <row r="4" spans="1:4" x14ac:dyDescent="0.35">
      <c r="A4" s="235" t="s">
        <v>481</v>
      </c>
      <c r="B4" s="125">
        <v>3080</v>
      </c>
      <c r="C4" s="125">
        <f>B4*12</f>
        <v>36960</v>
      </c>
      <c r="D4" t="s">
        <v>409</v>
      </c>
    </row>
    <row r="5" spans="1:4" x14ac:dyDescent="0.35">
      <c r="A5" s="235" t="s">
        <v>435</v>
      </c>
      <c r="B5" s="125">
        <v>698</v>
      </c>
      <c r="C5" s="125">
        <f t="shared" ref="C5:C10" si="0">B5*12</f>
        <v>8376</v>
      </c>
    </row>
    <row r="6" spans="1:4" x14ac:dyDescent="0.35">
      <c r="A6" s="265" t="s">
        <v>436</v>
      </c>
      <c r="B6" s="125">
        <v>380</v>
      </c>
      <c r="C6" s="125">
        <f t="shared" si="0"/>
        <v>4560</v>
      </c>
      <c r="D6" t="s">
        <v>482</v>
      </c>
    </row>
    <row r="7" spans="1:4" x14ac:dyDescent="0.35">
      <c r="A7" s="235" t="s">
        <v>437</v>
      </c>
      <c r="B7" s="125">
        <v>3379</v>
      </c>
      <c r="C7" s="125">
        <f t="shared" si="0"/>
        <v>40548</v>
      </c>
    </row>
    <row r="8" spans="1:4" x14ac:dyDescent="0.35">
      <c r="A8" s="235" t="s">
        <v>438</v>
      </c>
      <c r="B8" s="125">
        <v>298</v>
      </c>
      <c r="C8" s="125">
        <f t="shared" si="0"/>
        <v>3576</v>
      </c>
    </row>
    <row r="9" spans="1:4" x14ac:dyDescent="0.35">
      <c r="A9" s="235" t="s">
        <v>442</v>
      </c>
      <c r="B9" s="125">
        <v>422</v>
      </c>
      <c r="C9" s="125">
        <f t="shared" si="0"/>
        <v>5064</v>
      </c>
    </row>
    <row r="10" spans="1:4" x14ac:dyDescent="0.35">
      <c r="A10" s="235" t="s">
        <v>487</v>
      </c>
      <c r="B10" s="125">
        <v>330</v>
      </c>
      <c r="C10" s="125">
        <f t="shared" si="0"/>
        <v>3960</v>
      </c>
    </row>
    <row r="11" spans="1:4" x14ac:dyDescent="0.35">
      <c r="A11" s="235"/>
      <c r="B11" s="125"/>
      <c r="C11" s="247">
        <f>SUM(C4:C10)</f>
        <v>103044</v>
      </c>
    </row>
    <row r="12" spans="1:4" x14ac:dyDescent="0.35">
      <c r="A12" s="261" t="s">
        <v>465</v>
      </c>
      <c r="B12" s="125"/>
      <c r="C12" s="247">
        <f>C11*0.03</f>
        <v>3091.3199999999997</v>
      </c>
    </row>
    <row r="13" spans="1:4" x14ac:dyDescent="0.35">
      <c r="A13" s="261" t="s">
        <v>0</v>
      </c>
      <c r="B13" s="125"/>
      <c r="C13" s="248">
        <f>C11+C12</f>
        <v>106135.32</v>
      </c>
    </row>
    <row r="15" spans="1:4" x14ac:dyDescent="0.35">
      <c r="A15" s="249" t="s">
        <v>441</v>
      </c>
      <c r="B15" s="246" t="s">
        <v>380</v>
      </c>
      <c r="C15" s="246" t="s">
        <v>381</v>
      </c>
    </row>
    <row r="16" spans="1:4" x14ac:dyDescent="0.35">
      <c r="A16" s="235" t="s">
        <v>475</v>
      </c>
      <c r="B16" s="125">
        <v>250</v>
      </c>
      <c r="C16" s="125">
        <f>B16*12</f>
        <v>3000</v>
      </c>
    </row>
    <row r="17" spans="1:4" x14ac:dyDescent="0.35">
      <c r="A17" s="235" t="s">
        <v>397</v>
      </c>
      <c r="B17" s="125">
        <v>3936</v>
      </c>
      <c r="C17" s="125">
        <f t="shared" ref="C17:C19" si="1">B17*12</f>
        <v>47232</v>
      </c>
    </row>
    <row r="18" spans="1:4" x14ac:dyDescent="0.35">
      <c r="A18" s="235" t="s">
        <v>500</v>
      </c>
      <c r="B18" s="125">
        <v>8092.6</v>
      </c>
      <c r="C18" s="125">
        <f t="shared" si="1"/>
        <v>97111.200000000012</v>
      </c>
    </row>
    <row r="19" spans="1:4" x14ac:dyDescent="0.35">
      <c r="A19" s="235" t="s">
        <v>474</v>
      </c>
      <c r="B19" s="125">
        <v>367.2</v>
      </c>
      <c r="C19" s="125">
        <f t="shared" si="1"/>
        <v>4406.3999999999996</v>
      </c>
    </row>
    <row r="20" spans="1:4" x14ac:dyDescent="0.35">
      <c r="A20" s="235"/>
      <c r="B20" s="125"/>
      <c r="C20" s="247">
        <f>SUM(C16:C19)</f>
        <v>151749.6</v>
      </c>
      <c r="D20" s="83"/>
    </row>
    <row r="21" spans="1:4" x14ac:dyDescent="0.35">
      <c r="A21" s="261" t="s">
        <v>465</v>
      </c>
      <c r="B21" s="235"/>
      <c r="C21" s="28">
        <f>C20*0.03</f>
        <v>4552.4880000000003</v>
      </c>
    </row>
    <row r="22" spans="1:4" x14ac:dyDescent="0.35">
      <c r="A22" s="261" t="s">
        <v>0</v>
      </c>
      <c r="B22" s="235"/>
      <c r="C22" s="250">
        <f>C20+C21</f>
        <v>156302.08800000002</v>
      </c>
    </row>
    <row r="23" spans="1:4" x14ac:dyDescent="0.35">
      <c r="C23" s="243"/>
    </row>
    <row r="24" spans="1:4" x14ac:dyDescent="0.35">
      <c r="A24" s="249" t="s">
        <v>44</v>
      </c>
      <c r="B24" s="236"/>
      <c r="C24" s="236"/>
      <c r="D24" s="82"/>
    </row>
    <row r="25" spans="1:4" x14ac:dyDescent="0.35">
      <c r="A25" s="252"/>
      <c r="B25" s="253" t="s">
        <v>380</v>
      </c>
      <c r="C25" s="253" t="s">
        <v>381</v>
      </c>
    </row>
    <row r="26" spans="1:4" x14ac:dyDescent="0.35">
      <c r="A26" s="236" t="s">
        <v>396</v>
      </c>
      <c r="B26" s="306">
        <v>9083</v>
      </c>
      <c r="C26" s="306">
        <f>B26*12</f>
        <v>108996</v>
      </c>
    </row>
    <row r="27" spans="1:4" x14ac:dyDescent="0.35">
      <c r="A27" s="236" t="s">
        <v>446</v>
      </c>
      <c r="B27" s="306">
        <v>523</v>
      </c>
      <c r="C27" s="306">
        <f t="shared" ref="C27" si="2">B27*12</f>
        <v>6276</v>
      </c>
    </row>
    <row r="28" spans="1:4" x14ac:dyDescent="0.35">
      <c r="A28" s="261" t="s">
        <v>0</v>
      </c>
      <c r="B28" s="254"/>
      <c r="C28" s="255">
        <f>SUM(C26:C27)</f>
        <v>115272</v>
      </c>
    </row>
    <row r="31" spans="1:4" x14ac:dyDescent="0.35">
      <c r="A31" s="249" t="s">
        <v>353</v>
      </c>
      <c r="B31" s="246" t="s">
        <v>380</v>
      </c>
      <c r="C31" s="246" t="s">
        <v>381</v>
      </c>
      <c r="D31" s="82"/>
    </row>
    <row r="32" spans="1:4" x14ac:dyDescent="0.35">
      <c r="A32" s="235" t="s">
        <v>447</v>
      </c>
      <c r="B32" s="125">
        <v>5112</v>
      </c>
      <c r="C32" s="125">
        <f>B32*10</f>
        <v>51120</v>
      </c>
    </row>
    <row r="33" spans="1:3" x14ac:dyDescent="0.35">
      <c r="A33" s="261" t="s">
        <v>0</v>
      </c>
      <c r="B33" s="125"/>
      <c r="C33" s="248">
        <f>SUM(C32:C32)</f>
        <v>51120</v>
      </c>
    </row>
    <row r="35" spans="1:3" x14ac:dyDescent="0.35">
      <c r="A35" s="249" t="s">
        <v>48</v>
      </c>
      <c r="B35" s="246" t="s">
        <v>380</v>
      </c>
      <c r="C35" s="246" t="s">
        <v>381</v>
      </c>
    </row>
    <row r="36" spans="1:3" x14ac:dyDescent="0.35">
      <c r="A36" s="235" t="s">
        <v>451</v>
      </c>
      <c r="B36" s="125"/>
      <c r="C36" s="125">
        <v>200</v>
      </c>
    </row>
    <row r="37" spans="1:3" x14ac:dyDescent="0.35">
      <c r="A37" s="235" t="s">
        <v>448</v>
      </c>
      <c r="B37" s="125">
        <v>1943.74</v>
      </c>
      <c r="C37" s="125">
        <f t="shared" ref="C37:C39" si="3">B37*12</f>
        <v>23324.880000000001</v>
      </c>
    </row>
    <row r="38" spans="1:3" x14ac:dyDescent="0.35">
      <c r="A38" s="235" t="s">
        <v>450</v>
      </c>
      <c r="B38" s="125">
        <v>110</v>
      </c>
      <c r="C38" s="125">
        <f t="shared" si="3"/>
        <v>1320</v>
      </c>
    </row>
    <row r="39" spans="1:3" x14ac:dyDescent="0.35">
      <c r="A39" s="235" t="s">
        <v>449</v>
      </c>
      <c r="B39" s="125">
        <v>2000</v>
      </c>
      <c r="C39" s="125">
        <f t="shared" si="3"/>
        <v>24000</v>
      </c>
    </row>
    <row r="40" spans="1:3" x14ac:dyDescent="0.35">
      <c r="A40" s="235"/>
      <c r="B40" s="125"/>
      <c r="C40" s="248">
        <f>SUM(C36:C39)</f>
        <v>48844.880000000005</v>
      </c>
    </row>
    <row r="41" spans="1:3" x14ac:dyDescent="0.35">
      <c r="A41" s="261" t="s">
        <v>465</v>
      </c>
      <c r="B41" s="125"/>
      <c r="C41" s="248">
        <f>C40*0.03</f>
        <v>1465.3464000000001</v>
      </c>
    </row>
    <row r="42" spans="1:3" x14ac:dyDescent="0.35">
      <c r="A42" s="261" t="s">
        <v>0</v>
      </c>
      <c r="B42" s="125"/>
      <c r="C42" s="248">
        <f>C40+C41</f>
        <v>50310.226400000007</v>
      </c>
    </row>
    <row r="43" spans="1:3" x14ac:dyDescent="0.35">
      <c r="B43" s="256"/>
      <c r="C43" s="199"/>
    </row>
    <row r="44" spans="1:3" x14ac:dyDescent="0.35">
      <c r="A44" s="249" t="s">
        <v>452</v>
      </c>
      <c r="B44" s="246" t="s">
        <v>380</v>
      </c>
      <c r="C44" s="246" t="s">
        <v>381</v>
      </c>
    </row>
    <row r="45" spans="1:3" x14ac:dyDescent="0.35">
      <c r="A45" s="235" t="s">
        <v>453</v>
      </c>
      <c r="B45" s="125">
        <v>160</v>
      </c>
      <c r="C45" s="125">
        <f t="shared" ref="C45:C50" si="4">B45*12</f>
        <v>1920</v>
      </c>
    </row>
    <row r="46" spans="1:3" x14ac:dyDescent="0.35">
      <c r="A46" s="235" t="s">
        <v>454</v>
      </c>
      <c r="B46" s="125">
        <v>80</v>
      </c>
      <c r="C46" s="125">
        <f t="shared" si="4"/>
        <v>960</v>
      </c>
    </row>
    <row r="47" spans="1:3" x14ac:dyDescent="0.35">
      <c r="A47" s="235" t="s">
        <v>455</v>
      </c>
      <c r="B47" s="125">
        <v>40</v>
      </c>
      <c r="C47" s="125">
        <f t="shared" si="4"/>
        <v>480</v>
      </c>
    </row>
    <row r="48" spans="1:3" x14ac:dyDescent="0.35">
      <c r="A48" s="235" t="s">
        <v>456</v>
      </c>
      <c r="B48" s="125">
        <v>135</v>
      </c>
      <c r="C48" s="125">
        <f t="shared" si="4"/>
        <v>1620</v>
      </c>
    </row>
    <row r="49" spans="1:4" x14ac:dyDescent="0.35">
      <c r="A49" s="235" t="s">
        <v>458</v>
      </c>
      <c r="B49" s="125">
        <v>40</v>
      </c>
      <c r="C49" s="125">
        <f t="shared" si="4"/>
        <v>480</v>
      </c>
    </row>
    <row r="50" spans="1:4" x14ac:dyDescent="0.35">
      <c r="A50" s="235" t="s">
        <v>457</v>
      </c>
      <c r="B50" s="125">
        <v>275</v>
      </c>
      <c r="C50" s="125">
        <f t="shared" si="4"/>
        <v>3300</v>
      </c>
    </row>
    <row r="51" spans="1:4" x14ac:dyDescent="0.35">
      <c r="A51" s="235" t="s">
        <v>464</v>
      </c>
      <c r="B51" s="125"/>
      <c r="C51" s="125">
        <v>750</v>
      </c>
    </row>
    <row r="52" spans="1:4" x14ac:dyDescent="0.35">
      <c r="A52" s="235"/>
      <c r="B52" s="125"/>
      <c r="C52" s="247">
        <f>SUM(C45:C51)</f>
        <v>9510</v>
      </c>
    </row>
    <row r="53" spans="1:4" x14ac:dyDescent="0.35">
      <c r="A53" s="261" t="s">
        <v>465</v>
      </c>
      <c r="B53" s="125"/>
      <c r="C53" s="247">
        <f>C52*0.03</f>
        <v>285.3</v>
      </c>
    </row>
    <row r="54" spans="1:4" x14ac:dyDescent="0.35">
      <c r="A54" s="261" t="s">
        <v>0</v>
      </c>
      <c r="B54" s="125"/>
      <c r="C54" s="248">
        <f>C52+C53</f>
        <v>9795.2999999999993</v>
      </c>
    </row>
    <row r="57" spans="1:4" x14ac:dyDescent="0.35">
      <c r="A57" s="249" t="s">
        <v>54</v>
      </c>
      <c r="B57" s="257" t="s">
        <v>380</v>
      </c>
      <c r="C57" s="257" t="s">
        <v>381</v>
      </c>
    </row>
    <row r="58" spans="1:4" x14ac:dyDescent="0.35">
      <c r="A58" s="258"/>
      <c r="B58" s="259"/>
      <c r="C58" s="259"/>
    </row>
    <row r="59" spans="1:4" x14ac:dyDescent="0.35">
      <c r="A59" s="258" t="s">
        <v>459</v>
      </c>
      <c r="B59" s="259"/>
      <c r="C59" s="259">
        <v>10000</v>
      </c>
      <c r="D59" t="s">
        <v>498</v>
      </c>
    </row>
    <row r="60" spans="1:4" x14ac:dyDescent="0.35">
      <c r="A60" s="261" t="s">
        <v>0</v>
      </c>
      <c r="B60" s="259"/>
      <c r="C60" s="260">
        <f>SUM(C58:C59)</f>
        <v>10000</v>
      </c>
    </row>
    <row r="63" spans="1:4" x14ac:dyDescent="0.35">
      <c r="A63" s="249" t="s">
        <v>55</v>
      </c>
      <c r="B63" s="246" t="s">
        <v>380</v>
      </c>
      <c r="C63" s="246" t="s">
        <v>381</v>
      </c>
    </row>
    <row r="64" spans="1:4" x14ac:dyDescent="0.35">
      <c r="A64" s="235" t="s">
        <v>286</v>
      </c>
      <c r="B64" s="125">
        <v>165</v>
      </c>
      <c r="C64" s="125">
        <f>B64*12</f>
        <v>1980</v>
      </c>
    </row>
    <row r="65" spans="1:4" x14ac:dyDescent="0.35">
      <c r="A65" s="235" t="s">
        <v>460</v>
      </c>
      <c r="B65" s="125"/>
      <c r="C65" s="125">
        <v>1940</v>
      </c>
      <c r="D65" t="s">
        <v>461</v>
      </c>
    </row>
    <row r="66" spans="1:4" x14ac:dyDescent="0.35">
      <c r="A66" s="235" t="s">
        <v>280</v>
      </c>
      <c r="B66" s="125"/>
      <c r="C66" s="125">
        <v>5000</v>
      </c>
      <c r="D66" t="s">
        <v>499</v>
      </c>
    </row>
    <row r="67" spans="1:4" x14ac:dyDescent="0.35">
      <c r="A67" s="235"/>
      <c r="B67" s="125"/>
      <c r="C67" s="125"/>
    </row>
    <row r="68" spans="1:4" x14ac:dyDescent="0.35">
      <c r="A68" s="235" t="s">
        <v>472</v>
      </c>
      <c r="B68" s="125"/>
      <c r="C68" s="125">
        <v>1935</v>
      </c>
      <c r="D68" t="s">
        <v>473</v>
      </c>
    </row>
    <row r="69" spans="1:4" x14ac:dyDescent="0.35">
      <c r="A69" s="235" t="s">
        <v>282</v>
      </c>
      <c r="B69" s="125">
        <v>30</v>
      </c>
      <c r="C69" s="125">
        <f>B69*12</f>
        <v>360</v>
      </c>
    </row>
    <row r="70" spans="1:4" x14ac:dyDescent="0.35">
      <c r="A70" s="235" t="s">
        <v>476</v>
      </c>
      <c r="B70" s="125"/>
      <c r="C70" s="125">
        <v>2000</v>
      </c>
      <c r="D70" s="267" t="s">
        <v>479</v>
      </c>
    </row>
    <row r="71" spans="1:4" x14ac:dyDescent="0.35">
      <c r="A71" s="235" t="s">
        <v>477</v>
      </c>
      <c r="B71" s="125"/>
      <c r="C71" s="125">
        <v>0</v>
      </c>
      <c r="D71" s="294" t="s">
        <v>488</v>
      </c>
    </row>
    <row r="72" spans="1:4" x14ac:dyDescent="0.35">
      <c r="A72" s="235" t="s">
        <v>478</v>
      </c>
      <c r="B72" s="125"/>
      <c r="C72" s="125">
        <v>1550</v>
      </c>
      <c r="D72" t="s">
        <v>479</v>
      </c>
    </row>
    <row r="73" spans="1:4" x14ac:dyDescent="0.35">
      <c r="A73" s="261" t="s">
        <v>0</v>
      </c>
      <c r="B73" s="125"/>
      <c r="C73" s="248">
        <f>SUM(C64:C72)</f>
        <v>14765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01043-A58F-4FDC-812B-3C5D0ACBF59A}">
  <dimension ref="A1:D30"/>
  <sheetViews>
    <sheetView workbookViewId="0"/>
  </sheetViews>
  <sheetFormatPr defaultRowHeight="14.5" x14ac:dyDescent="0.35"/>
  <cols>
    <col min="1" max="1" width="46.81640625" customWidth="1"/>
    <col min="2" max="2" width="41.453125" customWidth="1"/>
    <col min="3" max="3" width="10.453125" style="47" bestFit="1" customWidth="1"/>
    <col min="4" max="4" width="28.81640625" bestFit="1" customWidth="1"/>
    <col min="5" max="5" width="22.453125" bestFit="1" customWidth="1"/>
    <col min="6" max="6" width="18.81640625" bestFit="1" customWidth="1"/>
    <col min="7" max="7" width="13.453125" customWidth="1"/>
    <col min="8" max="8" width="19.1796875" customWidth="1"/>
    <col min="9" max="9" width="16.1796875" customWidth="1"/>
    <col min="10" max="10" width="19.453125" customWidth="1"/>
    <col min="11" max="11" width="18" customWidth="1"/>
    <col min="12" max="12" width="16.453125" customWidth="1"/>
    <col min="14" max="15" width="15.54296875" customWidth="1"/>
    <col min="16" max="16" width="20" customWidth="1"/>
    <col min="17" max="17" width="22.1796875" customWidth="1"/>
    <col min="18" max="18" width="17.54296875" customWidth="1"/>
  </cols>
  <sheetData>
    <row r="1" spans="1:4" x14ac:dyDescent="0.35">
      <c r="A1" s="237" t="s">
        <v>174</v>
      </c>
      <c r="B1" s="237" t="s">
        <v>253</v>
      </c>
      <c r="D1" s="82" t="s">
        <v>86</v>
      </c>
    </row>
    <row r="2" spans="1:4" x14ac:dyDescent="0.35">
      <c r="A2" s="125" t="s">
        <v>397</v>
      </c>
      <c r="B2" s="235"/>
      <c r="C2" s="47" t="s">
        <v>443</v>
      </c>
    </row>
    <row r="3" spans="1:4" x14ac:dyDescent="0.35">
      <c r="A3" s="235" t="s">
        <v>433</v>
      </c>
      <c r="B3" s="235"/>
      <c r="C3" s="47" t="s">
        <v>443</v>
      </c>
    </row>
    <row r="4" spans="1:4" x14ac:dyDescent="0.35">
      <c r="A4" s="239" t="s">
        <v>396</v>
      </c>
      <c r="B4" s="235"/>
      <c r="C4" s="47" t="s">
        <v>443</v>
      </c>
    </row>
    <row r="5" spans="1:4" x14ac:dyDescent="0.35">
      <c r="A5" s="125" t="s">
        <v>419</v>
      </c>
      <c r="B5" s="235" t="s">
        <v>418</v>
      </c>
      <c r="C5" s="47" t="s">
        <v>443</v>
      </c>
      <c r="D5" t="s">
        <v>48</v>
      </c>
    </row>
    <row r="6" spans="1:4" x14ac:dyDescent="0.35">
      <c r="A6" s="125" t="s">
        <v>408</v>
      </c>
      <c r="B6" s="235"/>
      <c r="C6" s="47" t="s">
        <v>443</v>
      </c>
    </row>
    <row r="7" spans="1:4" x14ac:dyDescent="0.35">
      <c r="A7" s="125" t="s">
        <v>401</v>
      </c>
      <c r="B7" s="235" t="s">
        <v>400</v>
      </c>
      <c r="C7" s="47" t="s">
        <v>443</v>
      </c>
    </row>
    <row r="8" spans="1:4" x14ac:dyDescent="0.35">
      <c r="A8" s="262" t="s">
        <v>398</v>
      </c>
      <c r="B8" s="251" t="s">
        <v>399</v>
      </c>
      <c r="C8" s="263"/>
      <c r="D8" s="264" t="s">
        <v>483</v>
      </c>
    </row>
    <row r="9" spans="1:4" x14ac:dyDescent="0.35">
      <c r="A9" s="28" t="s">
        <v>402</v>
      </c>
      <c r="B9" s="235" t="s">
        <v>422</v>
      </c>
      <c r="D9" t="s">
        <v>484</v>
      </c>
    </row>
    <row r="10" spans="1:4" x14ac:dyDescent="0.35">
      <c r="A10" s="238" t="s">
        <v>403</v>
      </c>
      <c r="B10" s="235" t="s">
        <v>423</v>
      </c>
      <c r="C10" s="47" t="s">
        <v>443</v>
      </c>
    </row>
    <row r="11" spans="1:4" x14ac:dyDescent="0.35">
      <c r="A11" s="238" t="s">
        <v>404</v>
      </c>
      <c r="B11" s="235"/>
      <c r="C11" s="47" t="s">
        <v>443</v>
      </c>
    </row>
    <row r="12" spans="1:4" x14ac:dyDescent="0.35">
      <c r="A12" s="240" t="s">
        <v>405</v>
      </c>
      <c r="B12" s="235"/>
      <c r="C12" s="47" t="s">
        <v>443</v>
      </c>
    </row>
    <row r="13" spans="1:4" x14ac:dyDescent="0.35">
      <c r="A13" s="238" t="s">
        <v>406</v>
      </c>
      <c r="B13" s="235" t="s">
        <v>407</v>
      </c>
      <c r="C13" s="47" t="s">
        <v>443</v>
      </c>
    </row>
    <row r="14" spans="1:4" x14ac:dyDescent="0.35">
      <c r="A14" s="262" t="s">
        <v>409</v>
      </c>
      <c r="B14" s="251" t="s">
        <v>410</v>
      </c>
      <c r="C14" s="263"/>
      <c r="D14" s="264" t="s">
        <v>485</v>
      </c>
    </row>
    <row r="15" spans="1:4" x14ac:dyDescent="0.35">
      <c r="A15" s="238" t="s">
        <v>411</v>
      </c>
      <c r="B15" s="235" t="s">
        <v>410</v>
      </c>
      <c r="C15" s="47" t="s">
        <v>443</v>
      </c>
    </row>
    <row r="16" spans="1:4" x14ac:dyDescent="0.35">
      <c r="A16" s="238" t="s">
        <v>412</v>
      </c>
      <c r="B16" s="235" t="s">
        <v>414</v>
      </c>
      <c r="C16" s="47" t="s">
        <v>443</v>
      </c>
    </row>
    <row r="17" spans="1:4" x14ac:dyDescent="0.35">
      <c r="A17" s="238" t="s">
        <v>376</v>
      </c>
      <c r="B17" s="235" t="s">
        <v>415</v>
      </c>
      <c r="C17" s="47" t="s">
        <v>443</v>
      </c>
    </row>
    <row r="18" spans="1:4" x14ac:dyDescent="0.35">
      <c r="A18" s="238" t="s">
        <v>416</v>
      </c>
      <c r="B18" s="235" t="s">
        <v>417</v>
      </c>
      <c r="C18" s="47" t="s">
        <v>443</v>
      </c>
    </row>
    <row r="19" spans="1:4" x14ac:dyDescent="0.35">
      <c r="A19" s="238" t="s">
        <v>375</v>
      </c>
      <c r="B19" s="235"/>
      <c r="C19" s="47" t="s">
        <v>443</v>
      </c>
    </row>
    <row r="20" spans="1:4" x14ac:dyDescent="0.35">
      <c r="A20" s="262" t="s">
        <v>420</v>
      </c>
      <c r="B20" s="251" t="s">
        <v>421</v>
      </c>
      <c r="C20" s="263"/>
      <c r="D20" s="264" t="s">
        <v>470</v>
      </c>
    </row>
    <row r="21" spans="1:4" x14ac:dyDescent="0.35">
      <c r="A21" s="262" t="s">
        <v>426</v>
      </c>
      <c r="B21" s="251" t="s">
        <v>425</v>
      </c>
      <c r="C21" s="263"/>
      <c r="D21" s="264" t="s">
        <v>470</v>
      </c>
    </row>
    <row r="22" spans="1:4" x14ac:dyDescent="0.35">
      <c r="A22" s="238" t="s">
        <v>424</v>
      </c>
      <c r="B22" s="235"/>
      <c r="D22" t="s">
        <v>466</v>
      </c>
    </row>
    <row r="23" spans="1:4" x14ac:dyDescent="0.35">
      <c r="A23" s="238" t="s">
        <v>429</v>
      </c>
      <c r="B23" s="235" t="s">
        <v>430</v>
      </c>
      <c r="C23" s="47" t="s">
        <v>443</v>
      </c>
    </row>
    <row r="24" spans="1:4" x14ac:dyDescent="0.35">
      <c r="A24" s="235"/>
      <c r="B24" s="235"/>
    </row>
    <row r="25" spans="1:4" x14ac:dyDescent="0.35">
      <c r="A25" s="235"/>
      <c r="B25" s="235"/>
    </row>
    <row r="26" spans="1:4" x14ac:dyDescent="0.35">
      <c r="A26" s="235" t="s">
        <v>467</v>
      </c>
      <c r="B26" s="235"/>
      <c r="D26" s="264" t="s">
        <v>486</v>
      </c>
    </row>
    <row r="27" spans="1:4" x14ac:dyDescent="0.35">
      <c r="A27" s="238" t="s">
        <v>468</v>
      </c>
      <c r="B27" s="235" t="s">
        <v>469</v>
      </c>
      <c r="D27" s="264" t="s">
        <v>471</v>
      </c>
    </row>
    <row r="28" spans="1:4" x14ac:dyDescent="0.35">
      <c r="A28" s="238"/>
      <c r="B28" s="235"/>
    </row>
    <row r="29" spans="1:4" x14ac:dyDescent="0.35">
      <c r="A29" s="238"/>
      <c r="B29" s="235"/>
    </row>
    <row r="30" spans="1:4" x14ac:dyDescent="0.35">
      <c r="A30" s="238"/>
      <c r="B30" s="235"/>
    </row>
  </sheetData>
  <autoFilter ref="A1:D23" xr:uid="{51501043-A58F-4FDC-812B-3C5D0ACBF59A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259A-D093-4340-B470-231D5272CB1E}">
  <sheetPr>
    <tabColor rgb="FF0070C0"/>
  </sheetPr>
  <dimension ref="A1:AO84"/>
  <sheetViews>
    <sheetView zoomScale="130" zoomScaleNormal="130" workbookViewId="0">
      <pane xSplit="1" ySplit="2" topLeftCell="G3" activePane="bottomRight" state="frozen"/>
      <selection pane="topRight" activeCell="B1" sqref="B1"/>
      <selection pane="bottomLeft" activeCell="A3" sqref="A3"/>
      <selection pane="bottomRight" activeCell="I20" sqref="I20"/>
    </sheetView>
  </sheetViews>
  <sheetFormatPr defaultRowHeight="14.5" x14ac:dyDescent="0.35"/>
  <cols>
    <col min="1" max="1" width="14.81640625" bestFit="1" customWidth="1"/>
    <col min="2" max="2" width="14.81640625" customWidth="1"/>
    <col min="4" max="4" width="8.81640625" customWidth="1"/>
    <col min="5" max="5" width="8.81640625" hidden="1" customWidth="1"/>
    <col min="6" max="6" width="11.1796875" hidden="1" customWidth="1"/>
    <col min="7" max="7" width="29.453125" bestFit="1" customWidth="1"/>
    <col min="8" max="8" width="34.453125" style="105" customWidth="1"/>
    <col min="9" max="9" width="15.1796875" customWidth="1"/>
    <col min="10" max="10" width="10.6328125" bestFit="1" customWidth="1"/>
    <col min="11" max="11" width="8.81640625" customWidth="1"/>
    <col min="12" max="15" width="8.81640625" hidden="1" customWidth="1"/>
    <col min="16" max="16" width="18.1796875" customWidth="1"/>
    <col min="17" max="17" width="10.81640625" customWidth="1"/>
    <col min="18" max="18" width="13.81640625" bestFit="1" customWidth="1"/>
    <col min="19" max="19" width="12.54296875" customWidth="1"/>
    <col min="20" max="20" width="12.453125" style="47" customWidth="1"/>
    <col min="21" max="21" width="12.08984375" customWidth="1"/>
    <col min="22" max="22" width="17.1796875" customWidth="1"/>
    <col min="23" max="23" width="8.81640625" customWidth="1"/>
    <col min="24" max="24" width="12.6328125" bestFit="1" customWidth="1"/>
    <col min="25" max="26" width="11.6328125" customWidth="1"/>
    <col min="27" max="27" width="14.90625" customWidth="1"/>
    <col min="28" max="28" width="8.453125" customWidth="1"/>
    <col min="29" max="29" width="8.81640625" customWidth="1"/>
    <col min="30" max="30" width="12.1796875" bestFit="1" customWidth="1"/>
    <col min="31" max="31" width="10.6328125" customWidth="1"/>
    <col min="32" max="32" width="9" customWidth="1"/>
    <col min="33" max="33" width="13.81640625" customWidth="1"/>
    <col min="34" max="34" width="38" customWidth="1"/>
    <col min="35" max="35" width="12.453125" customWidth="1"/>
    <col min="36" max="36" width="19.1796875" customWidth="1"/>
    <col min="37" max="37" width="14" customWidth="1"/>
    <col min="38" max="38" width="30.1796875" customWidth="1"/>
    <col min="39" max="39" width="13.1796875" customWidth="1"/>
    <col min="40" max="41" width="8.81640625" customWidth="1"/>
  </cols>
  <sheetData>
    <row r="1" spans="1:39" ht="58" x14ac:dyDescent="0.35">
      <c r="A1" s="132" t="s">
        <v>2</v>
      </c>
      <c r="B1" s="132" t="s">
        <v>101</v>
      </c>
      <c r="C1" s="132" t="s">
        <v>102</v>
      </c>
      <c r="D1" s="133" t="s">
        <v>103</v>
      </c>
      <c r="E1" s="133"/>
      <c r="F1" s="133" t="s">
        <v>78</v>
      </c>
      <c r="G1" s="133" t="s">
        <v>79</v>
      </c>
      <c r="H1" s="133" t="s">
        <v>80</v>
      </c>
      <c r="I1" s="221" t="s">
        <v>81</v>
      </c>
      <c r="J1" s="133" t="s">
        <v>82</v>
      </c>
      <c r="K1" s="132" t="s">
        <v>83</v>
      </c>
      <c r="L1" s="133" t="s">
        <v>84</v>
      </c>
      <c r="M1" s="132" t="s">
        <v>104</v>
      </c>
      <c r="N1" s="133"/>
      <c r="O1" s="133"/>
      <c r="P1" s="133" t="s">
        <v>86</v>
      </c>
      <c r="Q1" s="132" t="s">
        <v>87</v>
      </c>
      <c r="R1" s="134" t="s">
        <v>88</v>
      </c>
      <c r="S1" s="221" t="s">
        <v>367</v>
      </c>
      <c r="T1" s="233" t="s">
        <v>368</v>
      </c>
      <c r="U1" s="134" t="s">
        <v>6</v>
      </c>
      <c r="V1" s="221" t="s">
        <v>369</v>
      </c>
      <c r="W1" s="134" t="s">
        <v>106</v>
      </c>
      <c r="X1" s="134" t="s">
        <v>90</v>
      </c>
      <c r="Y1" s="134" t="s">
        <v>91</v>
      </c>
      <c r="Z1" s="134" t="s">
        <v>92</v>
      </c>
      <c r="AA1" s="134" t="s">
        <v>107</v>
      </c>
      <c r="AB1" s="134" t="s">
        <v>108</v>
      </c>
      <c r="AC1" s="134" t="s">
        <v>109</v>
      </c>
      <c r="AD1" s="134" t="s">
        <v>110</v>
      </c>
      <c r="AE1" s="134" t="s">
        <v>111</v>
      </c>
      <c r="AF1" s="134"/>
      <c r="AG1" s="212"/>
      <c r="AH1" s="151" t="s">
        <v>112</v>
      </c>
      <c r="AI1" s="152">
        <f>SUM(R:R)</f>
        <v>1298898</v>
      </c>
      <c r="AJ1" s="173" t="s">
        <v>113</v>
      </c>
      <c r="AK1" s="205" t="s">
        <v>114</v>
      </c>
      <c r="AL1" s="207"/>
      <c r="AM1" s="207"/>
    </row>
    <row r="2" spans="1:39" x14ac:dyDescent="0.35">
      <c r="A2" s="150" t="str">
        <f>B4</f>
        <v>Admin Team</v>
      </c>
      <c r="B2" s="150"/>
      <c r="C2" s="150"/>
      <c r="D2" s="150"/>
      <c r="E2" s="150"/>
      <c r="F2" s="150"/>
      <c r="G2" s="150"/>
      <c r="H2" s="303"/>
      <c r="I2" s="114"/>
      <c r="J2" s="150"/>
      <c r="K2" s="150"/>
      <c r="L2" s="150"/>
      <c r="M2" s="150"/>
      <c r="N2" s="150"/>
      <c r="O2" s="150"/>
      <c r="P2" s="150"/>
      <c r="Q2" s="150"/>
      <c r="R2" s="150"/>
      <c r="S2" s="114"/>
      <c r="T2" s="234"/>
      <c r="U2" s="150"/>
      <c r="V2" s="114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H2" s="153" t="s">
        <v>115</v>
      </c>
      <c r="AI2" s="204">
        <f>SUMIFS(R:R,Q:Q,"Operating")</f>
        <v>1250253</v>
      </c>
      <c r="AJ2" s="174" t="s">
        <v>27</v>
      </c>
      <c r="AK2" s="206" t="s">
        <v>3</v>
      </c>
      <c r="AL2" s="207"/>
      <c r="AM2" s="207"/>
    </row>
    <row r="3" spans="1:39" x14ac:dyDescent="0.35">
      <c r="B3" t="s">
        <v>77</v>
      </c>
      <c r="F3" s="135"/>
      <c r="G3" s="202"/>
      <c r="H3" s="304" t="s">
        <v>354</v>
      </c>
      <c r="I3" s="222"/>
      <c r="J3" s="138"/>
      <c r="K3" s="139"/>
      <c r="L3" s="140"/>
      <c r="M3" s="137"/>
      <c r="N3" s="137"/>
      <c r="O3" s="141"/>
      <c r="P3" s="141"/>
      <c r="Q3" t="s">
        <v>3</v>
      </c>
      <c r="R3" s="47">
        <f>I3</f>
        <v>0</v>
      </c>
      <c r="S3" s="104"/>
      <c r="T3" s="223"/>
      <c r="U3" s="47"/>
      <c r="V3" s="104"/>
      <c r="W3" s="47"/>
      <c r="X3" s="47">
        <f>(R3+S3+T3+V3+W3)*0.0765</f>
        <v>0</v>
      </c>
      <c r="Y3" s="109">
        <f>(R3)*0.0452</f>
        <v>0</v>
      </c>
      <c r="Z3" s="109">
        <f>R3*0.075</f>
        <v>0</v>
      </c>
      <c r="AA3" s="46">
        <f>SUM(R3:Z3)</f>
        <v>0</v>
      </c>
      <c r="AD3" s="47"/>
      <c r="AE3" s="47"/>
      <c r="AG3" s="46">
        <f>SUM(AA3:AE3)</f>
        <v>0</v>
      </c>
      <c r="AH3" s="153"/>
      <c r="AI3" s="204"/>
      <c r="AJ3" s="174"/>
      <c r="AK3" s="206"/>
      <c r="AL3" s="207"/>
      <c r="AM3" s="207"/>
    </row>
    <row r="4" spans="1:39" x14ac:dyDescent="0.35">
      <c r="B4" t="s">
        <v>77</v>
      </c>
      <c r="C4" t="s">
        <v>116</v>
      </c>
      <c r="D4" t="s">
        <v>116</v>
      </c>
      <c r="F4" s="135"/>
      <c r="G4" s="202" t="s">
        <v>315</v>
      </c>
      <c r="H4" s="230" t="s">
        <v>93</v>
      </c>
      <c r="I4" s="222">
        <v>89870</v>
      </c>
      <c r="J4" s="138">
        <f>+I4/24</f>
        <v>3744.5833333333335</v>
      </c>
      <c r="K4" s="139" t="s">
        <v>81</v>
      </c>
      <c r="L4" s="140"/>
      <c r="M4" s="137"/>
      <c r="N4" s="137"/>
      <c r="O4" s="141"/>
      <c r="P4" s="141" t="s">
        <v>508</v>
      </c>
      <c r="Q4" t="s">
        <v>3</v>
      </c>
      <c r="R4" s="47">
        <f>IF(D4="Yes",VLOOKUP(A4,Tables!$G$2:$J$22,4,0),1)*IF(K4="Hourly",I4*IF(C4="Yes",4,8)*217,I4)</f>
        <v>89870</v>
      </c>
      <c r="S4" s="104">
        <f>6000</f>
        <v>6000</v>
      </c>
      <c r="T4" s="296">
        <v>10500</v>
      </c>
      <c r="U4" s="47">
        <v>12000</v>
      </c>
      <c r="V4" s="104"/>
      <c r="W4" s="47"/>
      <c r="X4" s="47">
        <f>(R4+S4+T4+V4+W4)*0.0765</f>
        <v>8137.3050000000003</v>
      </c>
      <c r="Y4" s="109">
        <f>(R4)*0.0452</f>
        <v>4062.1239999999998</v>
      </c>
      <c r="Z4" s="109">
        <f>R4*0.075</f>
        <v>6740.25</v>
      </c>
      <c r="AA4" s="46">
        <f>SUM(R4:Z4)</f>
        <v>137309.679</v>
      </c>
      <c r="AD4" s="47">
        <f>U4*0.0765</f>
        <v>918</v>
      </c>
      <c r="AE4" s="47">
        <f>U4*0.0452</f>
        <v>542.4</v>
      </c>
      <c r="AG4" s="46">
        <f>SUM(AA4:AE4)</f>
        <v>138770.079</v>
      </c>
      <c r="AH4" s="153" t="s">
        <v>89</v>
      </c>
      <c r="AI4" s="154">
        <f>SUMIFS(S:S,Q:Q,"Operating")</f>
        <v>24500</v>
      </c>
      <c r="AJ4" s="174" t="s">
        <v>117</v>
      </c>
      <c r="AK4" s="206" t="s">
        <v>3</v>
      </c>
      <c r="AL4" s="293">
        <f>AI1-'Overall Budget'!F34</f>
        <v>-79125.270000000019</v>
      </c>
      <c r="AM4" s="207"/>
    </row>
    <row r="5" spans="1:39" ht="43.5" x14ac:dyDescent="0.35">
      <c r="B5" t="s">
        <v>77</v>
      </c>
      <c r="C5" t="s">
        <v>116</v>
      </c>
      <c r="D5" t="s">
        <v>116</v>
      </c>
      <c r="F5" s="135"/>
      <c r="G5" s="202" t="s">
        <v>316</v>
      </c>
      <c r="H5" s="230" t="s">
        <v>512</v>
      </c>
      <c r="I5" s="222">
        <v>77330</v>
      </c>
      <c r="J5" s="138">
        <f t="shared" ref="J5:J6" si="0">+I5/24</f>
        <v>3222.0833333333335</v>
      </c>
      <c r="K5" s="139" t="s">
        <v>81</v>
      </c>
      <c r="L5" s="140"/>
      <c r="M5" s="137"/>
      <c r="N5" s="137"/>
      <c r="O5" s="141"/>
      <c r="P5" s="141"/>
      <c r="Q5" t="s">
        <v>3</v>
      </c>
      <c r="R5" s="47">
        <f>IF(D5="Yes",VLOOKUP(A5,Tables!$G$2:$J$22,4,0),1)*IF(K5="Hourly",I5*IF(C5="Yes",4,8)*217,I5)</f>
        <v>77330</v>
      </c>
      <c r="S5" s="104">
        <f>5000+1500+1500</f>
        <v>8000</v>
      </c>
      <c r="T5" s="223">
        <f t="shared" ref="T5:T7" si="1">R5*0.04</f>
        <v>3093.2000000000003</v>
      </c>
      <c r="U5" s="47">
        <v>12000</v>
      </c>
      <c r="V5" s="104"/>
      <c r="W5" s="47"/>
      <c r="X5" s="47">
        <f t="shared" ref="X5:X6" si="2">(R5+S5+T5+V5+W5)*0.0765</f>
        <v>6764.3747999999996</v>
      </c>
      <c r="Y5" s="109">
        <f t="shared" ref="Y5:Y6" si="3">(R5)*0.0452</f>
        <v>3495.3159999999998</v>
      </c>
      <c r="Z5" s="109">
        <f t="shared" ref="Z5:Z6" si="4">R5*0.075</f>
        <v>5799.75</v>
      </c>
      <c r="AA5" s="46">
        <f t="shared" ref="AA5:AA6" si="5">SUM(R5:Z5)</f>
        <v>116482.64080000001</v>
      </c>
      <c r="AD5" s="47"/>
      <c r="AE5" s="47"/>
      <c r="AG5" s="46">
        <f t="shared" ref="AG5:AG7" si="6">SUM(AA5:AE5)</f>
        <v>116482.64080000001</v>
      </c>
      <c r="AH5" s="153"/>
      <c r="AI5" s="154"/>
      <c r="AJ5" s="174"/>
      <c r="AK5" s="206"/>
      <c r="AL5" s="208"/>
      <c r="AM5" s="207"/>
    </row>
    <row r="6" spans="1:39" ht="43.5" x14ac:dyDescent="0.35">
      <c r="B6" t="s">
        <v>77</v>
      </c>
      <c r="C6" t="s">
        <v>116</v>
      </c>
      <c r="D6" t="s">
        <v>355</v>
      </c>
      <c r="F6" s="135"/>
      <c r="G6" s="202" t="s">
        <v>317</v>
      </c>
      <c r="H6" s="230" t="s">
        <v>334</v>
      </c>
      <c r="I6" s="222">
        <f>73150</f>
        <v>73150</v>
      </c>
      <c r="J6" s="138">
        <f t="shared" si="0"/>
        <v>3047.9166666666665</v>
      </c>
      <c r="K6" s="139" t="s">
        <v>81</v>
      </c>
      <c r="L6" s="140"/>
      <c r="M6" s="137"/>
      <c r="N6" s="137"/>
      <c r="O6" s="141"/>
      <c r="P6" s="141"/>
      <c r="Q6" t="s">
        <v>3</v>
      </c>
      <c r="R6" s="47">
        <f>I6</f>
        <v>73150</v>
      </c>
      <c r="S6" s="104">
        <f>2000+1500+1500+1500</f>
        <v>6500</v>
      </c>
      <c r="T6" s="223">
        <f t="shared" si="1"/>
        <v>2926</v>
      </c>
      <c r="U6" s="47">
        <v>10000</v>
      </c>
      <c r="V6" s="104"/>
      <c r="W6" s="47"/>
      <c r="X6" s="47">
        <f t="shared" si="2"/>
        <v>6317.0640000000003</v>
      </c>
      <c r="Y6" s="109">
        <f t="shared" si="3"/>
        <v>3306.3799999999997</v>
      </c>
      <c r="Z6" s="109">
        <f t="shared" si="4"/>
        <v>5486.25</v>
      </c>
      <c r="AA6" s="46">
        <f t="shared" si="5"/>
        <v>107685.694</v>
      </c>
      <c r="AD6" s="47"/>
      <c r="AE6" s="47"/>
      <c r="AG6" s="46">
        <f t="shared" si="6"/>
        <v>107685.694</v>
      </c>
      <c r="AH6" s="153"/>
      <c r="AI6" s="154"/>
      <c r="AJ6" s="174"/>
      <c r="AK6" s="206"/>
      <c r="AL6" s="208"/>
      <c r="AM6" s="207"/>
    </row>
    <row r="7" spans="1:39" ht="29" x14ac:dyDescent="0.35">
      <c r="B7" t="s">
        <v>77</v>
      </c>
      <c r="C7" t="s">
        <v>116</v>
      </c>
      <c r="D7" t="s">
        <v>116</v>
      </c>
      <c r="F7" s="135"/>
      <c r="G7" s="202" t="s">
        <v>335</v>
      </c>
      <c r="H7" s="230" t="s">
        <v>336</v>
      </c>
      <c r="I7" s="222">
        <v>60000</v>
      </c>
      <c r="J7" s="138">
        <f t="shared" ref="J7" si="7">+I7/24</f>
        <v>2500</v>
      </c>
      <c r="K7" s="139" t="s">
        <v>81</v>
      </c>
      <c r="L7" s="140"/>
      <c r="M7" s="137"/>
      <c r="N7" s="137"/>
      <c r="O7" s="141"/>
      <c r="P7" s="141"/>
      <c r="Q7" t="s">
        <v>3</v>
      </c>
      <c r="R7" s="47">
        <f>IF(D7="Yes",VLOOKUP(A7,Tables!$G$2:$J$22,4,0),1)*IF(K7="Hourly",I7*IF(C7="Yes",4,8)*217,I7)</f>
        <v>60000</v>
      </c>
      <c r="S7" s="104"/>
      <c r="T7" s="223">
        <f t="shared" si="1"/>
        <v>2400</v>
      </c>
      <c r="U7" s="47">
        <v>2000</v>
      </c>
      <c r="V7" s="104"/>
      <c r="W7" s="47"/>
      <c r="X7" s="47">
        <f t="shared" ref="X7" si="8">(R7+S7+T7+V7+W7)*0.0765</f>
        <v>4773.6000000000004</v>
      </c>
      <c r="Y7" s="109">
        <f t="shared" ref="Y7" si="9">(R7)*0.0452</f>
        <v>2712</v>
      </c>
      <c r="Z7" s="109">
        <f t="shared" ref="Z7" si="10">R7*0.075</f>
        <v>4500</v>
      </c>
      <c r="AA7" s="46">
        <f t="shared" ref="AA7" si="11">SUM(R7:Z7)</f>
        <v>76385.600000000006</v>
      </c>
      <c r="AD7" s="47"/>
      <c r="AE7" s="47"/>
      <c r="AG7" s="46">
        <f t="shared" si="6"/>
        <v>76385.600000000006</v>
      </c>
      <c r="AH7" s="153"/>
      <c r="AI7" s="154"/>
      <c r="AJ7" s="174"/>
      <c r="AK7" s="206"/>
      <c r="AL7" s="208"/>
      <c r="AM7" s="207"/>
    </row>
    <row r="8" spans="1:39" x14ac:dyDescent="0.35">
      <c r="A8" s="150" t="str">
        <f>B9</f>
        <v>Student Support</v>
      </c>
      <c r="B8" s="150"/>
      <c r="C8" s="150"/>
      <c r="D8" s="150"/>
      <c r="E8" s="150"/>
      <c r="F8" s="150"/>
      <c r="G8" s="150"/>
      <c r="H8" s="303"/>
      <c r="I8" s="114"/>
      <c r="J8" s="150"/>
      <c r="K8" s="150"/>
      <c r="L8" s="150"/>
      <c r="M8" s="150"/>
      <c r="N8" s="150"/>
      <c r="O8" s="150"/>
      <c r="P8" s="150"/>
      <c r="Q8" s="150"/>
      <c r="R8" s="150"/>
      <c r="S8" s="114"/>
      <c r="T8" s="234"/>
      <c r="U8" s="150"/>
      <c r="V8" s="114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46">
        <f t="shared" ref="AG8:AG29" si="12">SUM(AA8:AE8)</f>
        <v>0</v>
      </c>
      <c r="AH8" s="153" t="s">
        <v>105</v>
      </c>
      <c r="AI8" s="154">
        <f>SUMIFS(T:T,Q:Q,"Operating")</f>
        <v>52059.27</v>
      </c>
      <c r="AJ8" s="174" t="s">
        <v>27</v>
      </c>
      <c r="AK8" s="206" t="s">
        <v>3</v>
      </c>
      <c r="AL8" s="208"/>
      <c r="AM8" s="209"/>
    </row>
    <row r="9" spans="1:39" x14ac:dyDescent="0.35">
      <c r="B9" t="s">
        <v>118</v>
      </c>
      <c r="C9" t="s">
        <v>116</v>
      </c>
      <c r="D9" t="s">
        <v>116</v>
      </c>
      <c r="F9" s="135"/>
      <c r="G9" s="202" t="s">
        <v>319</v>
      </c>
      <c r="H9" s="230" t="s">
        <v>318</v>
      </c>
      <c r="I9" s="222">
        <v>67925</v>
      </c>
      <c r="J9" s="138">
        <f>+I9/24</f>
        <v>2830.2083333333335</v>
      </c>
      <c r="K9" s="139" t="s">
        <v>81</v>
      </c>
      <c r="L9" s="140"/>
      <c r="M9" s="137"/>
      <c r="N9" s="137"/>
      <c r="O9" s="142"/>
      <c r="P9" s="141"/>
      <c r="Q9" t="s">
        <v>3</v>
      </c>
      <c r="R9" s="47">
        <f>IF(D9="Yes",VLOOKUP(A9,Tables!$G$2:$J$22,4,0),1)*IF(K9="Hourly",I9*IF(C9="Yes",4,8)*217,I9)</f>
        <v>67925</v>
      </c>
      <c r="S9" s="104"/>
      <c r="T9" s="223">
        <f t="shared" ref="T9:T12" si="13">R9*0.04</f>
        <v>2717</v>
      </c>
      <c r="U9" s="47">
        <v>5500</v>
      </c>
      <c r="V9" s="295">
        <f>2000+5000</f>
        <v>7000</v>
      </c>
      <c r="W9" s="47"/>
      <c r="X9" s="47">
        <f t="shared" ref="X9:X29" si="14">(R9+S9+T9+V9+W9)*0.0765</f>
        <v>5939.6130000000003</v>
      </c>
      <c r="Y9" s="109">
        <f t="shared" ref="Y9:Y10" si="15">(R9)*0.0452</f>
        <v>3070.2099999999996</v>
      </c>
      <c r="Z9" s="109">
        <f t="shared" ref="Z9:Z10" si="16">R9*0.075</f>
        <v>5094.375</v>
      </c>
      <c r="AA9" s="46">
        <f>SUM(R9:Z9)</f>
        <v>97246.198000000004</v>
      </c>
      <c r="AD9" s="47">
        <f t="shared" ref="AD9:AD11" si="17">U9*0.0765</f>
        <v>420.75</v>
      </c>
      <c r="AE9" s="47">
        <f t="shared" ref="AE9:AE11" si="18">U9*0.0452</f>
        <v>248.6</v>
      </c>
      <c r="AG9" s="46">
        <f>SUM(AA9:AE9)</f>
        <v>97915.54800000001</v>
      </c>
      <c r="AH9" s="153" t="s">
        <v>6</v>
      </c>
      <c r="AI9" s="154">
        <f>SUMIFS(U:U,Q:Q,"Operating")</f>
        <v>85744</v>
      </c>
      <c r="AJ9" s="174" t="s">
        <v>6</v>
      </c>
      <c r="AK9" s="206" t="s">
        <v>6</v>
      </c>
      <c r="AL9" s="208"/>
      <c r="AM9" s="209"/>
    </row>
    <row r="10" spans="1:39" x14ac:dyDescent="0.35">
      <c r="B10" t="s">
        <v>118</v>
      </c>
      <c r="C10" t="s">
        <v>116</v>
      </c>
      <c r="D10" t="s">
        <v>116</v>
      </c>
      <c r="F10" s="135"/>
      <c r="G10" s="137" t="s">
        <v>389</v>
      </c>
      <c r="H10" s="230" t="s">
        <v>390</v>
      </c>
      <c r="I10" s="222">
        <v>60610</v>
      </c>
      <c r="J10" s="138">
        <f>+I10/24</f>
        <v>2525.4166666666665</v>
      </c>
      <c r="K10" s="139" t="s">
        <v>81</v>
      </c>
      <c r="L10" s="140"/>
      <c r="M10" s="137"/>
      <c r="N10" s="143"/>
      <c r="O10" s="142"/>
      <c r="P10" s="141"/>
      <c r="Q10" t="s">
        <v>3</v>
      </c>
      <c r="R10" s="47">
        <f>IF(D10="Yes",VLOOKUP(A10,Tables!$G$2:$J$22,4,0),1)*IF(K10="Hourly",I10*IF(C10="Yes",4,8)*217,I10)</f>
        <v>60610</v>
      </c>
      <c r="S10" s="104"/>
      <c r="T10" s="223">
        <f t="shared" si="13"/>
        <v>2424.4</v>
      </c>
      <c r="U10" s="47">
        <v>3000</v>
      </c>
      <c r="V10" s="104">
        <v>2000</v>
      </c>
      <c r="W10" s="47"/>
      <c r="X10" s="47">
        <f t="shared" si="14"/>
        <v>4975.1315999999997</v>
      </c>
      <c r="Y10" s="109">
        <f t="shared" si="15"/>
        <v>2739.5719999999997</v>
      </c>
      <c r="Z10" s="109">
        <f t="shared" si="16"/>
        <v>4545.75</v>
      </c>
      <c r="AA10" s="46">
        <f t="shared" ref="AA10:AA11" si="19">SUM(R10:Z10)</f>
        <v>80294.853599999988</v>
      </c>
      <c r="AD10" s="47">
        <f t="shared" si="17"/>
        <v>229.5</v>
      </c>
      <c r="AE10" s="47">
        <f t="shared" si="18"/>
        <v>135.6</v>
      </c>
      <c r="AG10" s="46">
        <f t="shared" si="12"/>
        <v>80659.953599999993</v>
      </c>
      <c r="AH10" s="155" t="s">
        <v>85</v>
      </c>
      <c r="AI10" s="156">
        <f>SUMIFS(V:V,Q:Q,"Operating")</f>
        <v>14000</v>
      </c>
      <c r="AJ10" s="174" t="s">
        <v>117</v>
      </c>
      <c r="AK10" s="206" t="s">
        <v>3</v>
      </c>
      <c r="AL10" s="208"/>
      <c r="AM10" s="209"/>
    </row>
    <row r="11" spans="1:39" x14ac:dyDescent="0.35">
      <c r="B11" t="s">
        <v>118</v>
      </c>
      <c r="C11" t="s">
        <v>116</v>
      </c>
      <c r="D11" t="s">
        <v>116</v>
      </c>
      <c r="F11" s="135"/>
      <c r="G11" s="136" t="s">
        <v>338</v>
      </c>
      <c r="H11" s="230" t="s">
        <v>339</v>
      </c>
      <c r="I11" s="222">
        <v>39710</v>
      </c>
      <c r="J11" s="138">
        <f t="shared" ref="J11:J12" si="20">+I11/24</f>
        <v>1654.5833333333333</v>
      </c>
      <c r="K11" s="139" t="s">
        <v>81</v>
      </c>
      <c r="L11" s="140"/>
      <c r="M11" s="137"/>
      <c r="N11" s="137"/>
      <c r="O11" s="141"/>
      <c r="P11" s="141"/>
      <c r="Q11" t="s">
        <v>3</v>
      </c>
      <c r="R11" s="47">
        <f>IF(D11="Yes",VLOOKUP(A11,Tables!$G$2:$J$22,4,0),1)*IF(K11="Hourly",I11*IF(C11="Yes",4,8)*217,I11)</f>
        <v>39710</v>
      </c>
      <c r="S11" s="104"/>
      <c r="T11" s="223">
        <f t="shared" si="13"/>
        <v>1588.4</v>
      </c>
      <c r="U11" s="47">
        <v>2271</v>
      </c>
      <c r="V11" s="104"/>
      <c r="W11" s="47"/>
      <c r="X11" s="47">
        <f>(R11+S11+T11+V11+W11)*0.0765</f>
        <v>3159.3276000000001</v>
      </c>
      <c r="Y11" s="109">
        <f>(R11)*0.0452</f>
        <v>1794.8919999999998</v>
      </c>
      <c r="Z11" s="109">
        <f>R11*0.075</f>
        <v>2978.25</v>
      </c>
      <c r="AA11" s="46">
        <f t="shared" si="19"/>
        <v>51501.869599999998</v>
      </c>
      <c r="AD11" s="47">
        <f t="shared" si="17"/>
        <v>173.73149999999998</v>
      </c>
      <c r="AE11" s="47">
        <f t="shared" si="18"/>
        <v>102.64919999999999</v>
      </c>
      <c r="AF11" s="47"/>
      <c r="AG11" s="46">
        <f>SUM(AA11:AE11)</f>
        <v>51778.2503</v>
      </c>
      <c r="AH11" s="82"/>
      <c r="AJ11" s="175"/>
      <c r="AK11" s="206"/>
      <c r="AL11" s="208"/>
      <c r="AM11" s="209"/>
    </row>
    <row r="12" spans="1:39" ht="29" x14ac:dyDescent="0.35">
      <c r="B12" t="s">
        <v>118</v>
      </c>
      <c r="C12" t="s">
        <v>116</v>
      </c>
      <c r="D12" t="s">
        <v>116</v>
      </c>
      <c r="F12" s="135"/>
      <c r="G12" s="136" t="s">
        <v>340</v>
      </c>
      <c r="H12" s="230" t="s">
        <v>341</v>
      </c>
      <c r="I12" s="222">
        <v>59565</v>
      </c>
      <c r="J12" s="138">
        <f t="shared" si="20"/>
        <v>2481.875</v>
      </c>
      <c r="K12" s="139" t="s">
        <v>81</v>
      </c>
      <c r="L12" s="140"/>
      <c r="M12" s="137"/>
      <c r="N12" s="137"/>
      <c r="O12" s="141"/>
      <c r="P12" s="141"/>
      <c r="Q12" t="s">
        <v>3</v>
      </c>
      <c r="R12" s="47">
        <f>IF(D12="Yes",VLOOKUP(A12,Tables!$G$2:$J$22,4,0),1)*IF(K12="Hourly",I12*IF(C12="Yes",4,8)*217,I12)</f>
        <v>59565</v>
      </c>
      <c r="S12" s="104">
        <v>3000</v>
      </c>
      <c r="T12" s="223">
        <f t="shared" si="13"/>
        <v>2382.6</v>
      </c>
      <c r="U12" s="47">
        <v>3407</v>
      </c>
      <c r="V12" s="104"/>
      <c r="W12" s="47"/>
      <c r="X12" s="47">
        <f>(R12+S12+T12+V12+W12)*0.0765</f>
        <v>4968.4913999999999</v>
      </c>
      <c r="Y12" s="109">
        <f>(R12)*0.0452</f>
        <v>2692.3379999999997</v>
      </c>
      <c r="Z12" s="109">
        <f>R12*0.075</f>
        <v>4467.375</v>
      </c>
      <c r="AA12" s="46">
        <f t="shared" ref="AA12" si="21">SUM(R12:Z12)</f>
        <v>80482.804400000008</v>
      </c>
      <c r="AD12" s="47"/>
      <c r="AE12" s="47"/>
      <c r="AF12" s="47"/>
      <c r="AG12" s="46">
        <f t="shared" si="12"/>
        <v>80482.804400000008</v>
      </c>
      <c r="AH12" s="82"/>
      <c r="AJ12" s="175"/>
      <c r="AK12" s="206"/>
      <c r="AL12" s="208"/>
      <c r="AM12" s="209"/>
    </row>
    <row r="13" spans="1:39" x14ac:dyDescent="0.35">
      <c r="B13" t="s">
        <v>118</v>
      </c>
      <c r="C13" t="s">
        <v>116</v>
      </c>
      <c r="D13" t="s">
        <v>116</v>
      </c>
      <c r="F13" s="135"/>
      <c r="G13" s="136" t="s">
        <v>391</v>
      </c>
      <c r="H13" s="230" t="s">
        <v>392</v>
      </c>
      <c r="I13" s="222">
        <v>38000</v>
      </c>
      <c r="J13" s="138">
        <f t="shared" ref="J13" si="22">+I13/24</f>
        <v>1583.3333333333333</v>
      </c>
      <c r="K13" s="139" t="s">
        <v>81</v>
      </c>
      <c r="L13" s="140"/>
      <c r="M13" s="137"/>
      <c r="N13" s="137"/>
      <c r="O13" s="141"/>
      <c r="P13" s="141"/>
      <c r="Q13" t="s">
        <v>3</v>
      </c>
      <c r="R13" s="47">
        <f>IF(D13="Yes",VLOOKUP(A13,Tables!$G$2:$J$22,4,0),1)*IF(K13="Hourly",I13*IF(C13="Yes",4,8)*217,I13)</f>
        <v>38000</v>
      </c>
      <c r="S13" s="104"/>
      <c r="T13" s="223">
        <v>0</v>
      </c>
      <c r="U13" s="47">
        <v>500</v>
      </c>
      <c r="V13" s="104"/>
      <c r="W13" s="47"/>
      <c r="X13" s="47">
        <f>(R13+S13+T13+V13+W13)*0.0765</f>
        <v>2907</v>
      </c>
      <c r="Y13" s="109">
        <f>(R13)*0.0452</f>
        <v>1717.6</v>
      </c>
      <c r="Z13" s="109">
        <f>R13*0.075</f>
        <v>2850</v>
      </c>
      <c r="AA13" s="46">
        <f t="shared" ref="AA13" si="23">SUM(R13:Z13)</f>
        <v>45974.6</v>
      </c>
      <c r="AD13" s="47"/>
      <c r="AE13" s="47"/>
      <c r="AF13" s="47"/>
      <c r="AG13" s="46">
        <f t="shared" ref="AG13" si="24">SUM(AA13:AE13)</f>
        <v>45974.6</v>
      </c>
      <c r="AH13" s="82"/>
      <c r="AJ13" s="175"/>
      <c r="AK13" s="206"/>
      <c r="AL13" s="208"/>
      <c r="AM13" s="209"/>
    </row>
    <row r="14" spans="1:39" x14ac:dyDescent="0.35">
      <c r="A14" s="150" t="str">
        <f>B15</f>
        <v>Teachers</v>
      </c>
      <c r="B14" s="150"/>
      <c r="C14" s="150"/>
      <c r="D14" s="150"/>
      <c r="E14" s="150"/>
      <c r="F14" s="150"/>
      <c r="G14" s="150"/>
      <c r="H14" s="303"/>
      <c r="I14" s="114"/>
      <c r="J14" s="150"/>
      <c r="K14" s="150"/>
      <c r="L14" s="150"/>
      <c r="M14" s="150"/>
      <c r="N14" s="150"/>
      <c r="O14" s="150"/>
      <c r="P14" s="150"/>
      <c r="Q14" s="150"/>
      <c r="R14" s="150"/>
      <c r="S14" s="114"/>
      <c r="T14" s="234"/>
      <c r="U14" s="150"/>
      <c r="V14" s="114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46">
        <f t="shared" si="12"/>
        <v>0</v>
      </c>
      <c r="AH14" s="158" t="s">
        <v>97</v>
      </c>
      <c r="AI14" s="178">
        <f>SUMIFS(Tables!C:C,Tables!A:A,Staffing!$A$4,Tables!B:B,AH14)+SUMIFS(Tables!D:D,Tables!A:A,Staffing!$A$4,Tables!B:B,AH14)</f>
        <v>0</v>
      </c>
      <c r="AJ14" s="174" t="s">
        <v>117</v>
      </c>
      <c r="AK14" s="206" t="s">
        <v>3</v>
      </c>
      <c r="AL14" s="207"/>
      <c r="AM14" s="209"/>
    </row>
    <row r="15" spans="1:39" x14ac:dyDescent="0.35">
      <c r="B15" t="s">
        <v>94</v>
      </c>
      <c r="C15" t="s">
        <v>116</v>
      </c>
      <c r="D15" t="s">
        <v>116</v>
      </c>
      <c r="F15" s="135"/>
      <c r="G15" s="137" t="s">
        <v>320</v>
      </c>
      <c r="H15" s="230" t="s">
        <v>321</v>
      </c>
      <c r="I15" s="222">
        <v>54000</v>
      </c>
      <c r="J15" s="138">
        <f t="shared" ref="J15:J23" si="25">+I15/24</f>
        <v>2250</v>
      </c>
      <c r="K15" s="139" t="s">
        <v>81</v>
      </c>
      <c r="L15" s="140"/>
      <c r="M15" s="137"/>
      <c r="N15" s="144"/>
      <c r="O15" s="141"/>
      <c r="P15" s="141"/>
      <c r="Q15" t="s">
        <v>3</v>
      </c>
      <c r="R15" s="47">
        <f>IF(D15="Yes",VLOOKUP(A15,Tables!$G$2:$J$22,4,0),1)*IF(K15="Hourly",I15*IF(C15="Yes",4,8)*217,I15)</f>
        <v>54000</v>
      </c>
      <c r="S15" s="104">
        <f>(IF(D15="Yes",VLOOKUP(A15,Tables!$G$2:$J$22,4,0),1)*IF(E15="Principal",12000,IF(E15="AP/VP",6000,IF(K15="Hourly",0,IF(OR(M15="Teacher I",M15="Teacher I - ND"),R15*0.02,IF(OR(M15="Teacher III",M15="Teacher II"),R15*0.025,0))))))</f>
        <v>0</v>
      </c>
      <c r="T15" s="223">
        <f>R15*0.03</f>
        <v>1620</v>
      </c>
      <c r="U15" s="47">
        <v>2000</v>
      </c>
      <c r="V15" s="104"/>
      <c r="W15" s="47"/>
      <c r="X15" s="47">
        <f t="shared" si="14"/>
        <v>4254.93</v>
      </c>
      <c r="Y15" s="109">
        <f t="shared" ref="Y15:Y23" si="26">(R15)*0.0452</f>
        <v>2440.7999999999997</v>
      </c>
      <c r="Z15" s="109">
        <f t="shared" ref="Z15:Z23" si="27">R15*0.075</f>
        <v>4050</v>
      </c>
      <c r="AA15" s="46">
        <f t="shared" ref="AA15:AA23" si="28">SUM(R15:Z15)</f>
        <v>68365.73000000001</v>
      </c>
      <c r="AD15" s="47">
        <f>U15*0.0765</f>
        <v>153</v>
      </c>
      <c r="AE15" s="47">
        <f>U15*0.0452</f>
        <v>90.399999999999991</v>
      </c>
      <c r="AG15" s="46">
        <f t="shared" si="12"/>
        <v>68609.13</v>
      </c>
      <c r="AH15" s="158" t="s">
        <v>98</v>
      </c>
      <c r="AI15" s="178">
        <f>SUMIFS(Tables!C:C,Tables!A:A,Staffing!$A$4,Tables!B:B,AH15)+SUMIFS(Tables!D:D,Tables!A:A,Staffing!$A$4,Tables!B:B,AH15)</f>
        <v>0</v>
      </c>
      <c r="AJ15" s="174" t="s">
        <v>117</v>
      </c>
      <c r="AK15" s="206" t="s">
        <v>3</v>
      </c>
      <c r="AL15" s="207"/>
      <c r="AM15" s="209"/>
    </row>
    <row r="16" spans="1:39" x14ac:dyDescent="0.35">
      <c r="B16" t="s">
        <v>94</v>
      </c>
      <c r="C16" t="s">
        <v>116</v>
      </c>
      <c r="D16" t="s">
        <v>116</v>
      </c>
      <c r="F16" s="135"/>
      <c r="G16" s="136" t="s">
        <v>491</v>
      </c>
      <c r="H16" s="230" t="s">
        <v>388</v>
      </c>
      <c r="I16" s="222">
        <v>54000</v>
      </c>
      <c r="J16" s="138">
        <f t="shared" si="25"/>
        <v>2250</v>
      </c>
      <c r="K16" s="139" t="s">
        <v>81</v>
      </c>
      <c r="L16" s="140"/>
      <c r="M16" s="137"/>
      <c r="N16" s="137"/>
      <c r="O16" s="141"/>
      <c r="P16" s="141"/>
      <c r="Q16" t="s">
        <v>3</v>
      </c>
      <c r="R16" s="47">
        <f>IF(D16="Yes",VLOOKUP(A16,Tables!$G$2:$J$22,4,0),1)*IF(K16="Hourly",I16*IF(C16="Yes",4,8)*217,I16)</f>
        <v>54000</v>
      </c>
      <c r="S16" s="104">
        <f>(IF(D16="Yes",VLOOKUP(A16,Tables!$G$2:$J$22,4,0),1)*IF(E16="Principal",12000,IF(E16="AP/VP",6000,IF(K16="Hourly",0,IF(OR(M16="Teacher I",M16="Teacher I - ND"),R16*0.02,IF(OR(M16="Teacher III",M16="Teacher II"),R16*0.025,0))))))</f>
        <v>0</v>
      </c>
      <c r="T16" s="223">
        <f>R16*0.03</f>
        <v>1620</v>
      </c>
      <c r="U16" s="47">
        <v>2000</v>
      </c>
      <c r="V16" s="104"/>
      <c r="W16" s="47"/>
      <c r="X16" s="47">
        <f t="shared" si="14"/>
        <v>4254.93</v>
      </c>
      <c r="Y16" s="109">
        <f t="shared" si="26"/>
        <v>2440.7999999999997</v>
      </c>
      <c r="Z16" s="109">
        <f t="shared" si="27"/>
        <v>4050</v>
      </c>
      <c r="AA16" s="46">
        <f t="shared" si="28"/>
        <v>68365.73000000001</v>
      </c>
      <c r="AD16" s="47">
        <f t="shared" ref="AD16:AD23" si="29">U16*0.0765</f>
        <v>153</v>
      </c>
      <c r="AE16" s="47">
        <f t="shared" ref="AE16:AE23" si="30">U16*0.0452</f>
        <v>90.399999999999991</v>
      </c>
      <c r="AG16" s="46">
        <f t="shared" si="12"/>
        <v>68609.13</v>
      </c>
      <c r="AH16" s="158" t="s">
        <v>99</v>
      </c>
      <c r="AI16" s="178">
        <f>SUMIFS(Tables!C:C,Tables!A:A,Staffing!$A$4,Tables!B:B,AH16)+SUMIFS(Tables!D:D,Tables!A:A,Staffing!$A$4,Tables!B:B,AH16)</f>
        <v>0</v>
      </c>
      <c r="AJ16" s="174" t="s">
        <v>117</v>
      </c>
      <c r="AK16" s="206" t="s">
        <v>3</v>
      </c>
      <c r="AL16" s="207"/>
      <c r="AM16" s="209"/>
    </row>
    <row r="17" spans="1:41" x14ac:dyDescent="0.35">
      <c r="B17" t="s">
        <v>94</v>
      </c>
      <c r="C17" t="s">
        <v>116</v>
      </c>
      <c r="D17" t="s">
        <v>116</v>
      </c>
      <c r="F17" s="135"/>
      <c r="G17" s="137" t="s">
        <v>322</v>
      </c>
      <c r="H17" s="230" t="s">
        <v>323</v>
      </c>
      <c r="I17" s="222">
        <v>58000</v>
      </c>
      <c r="J17" s="138">
        <f t="shared" si="25"/>
        <v>2416.6666666666665</v>
      </c>
      <c r="K17" s="139" t="s">
        <v>81</v>
      </c>
      <c r="L17" s="140"/>
      <c r="M17" s="137"/>
      <c r="N17" s="143"/>
      <c r="O17" s="141"/>
      <c r="P17" s="141"/>
      <c r="Q17" t="s">
        <v>3</v>
      </c>
      <c r="R17" s="47">
        <f>IF(D17="Yes",VLOOKUP(A17,Tables!$G$2:$J$22,4,0),1)*IF(K17="Hourly",I17*IF(C17="Yes",4,8)*217,I17)</f>
        <v>58000</v>
      </c>
      <c r="S17" s="104">
        <f>(IF(D17="Yes",VLOOKUP(A17,Tables!$G$2:$J$22,4,0),1)*IF(E17="Principal",12000,IF(E17="AP/VP",6000,IF(K17="Hourly",0,IF(OR(M17="Teacher I",M17="Teacher I - ND"),R17*0.02,IF(OR(M17="Teacher III",M17="Teacher II"),R17*0.025,0))))))</f>
        <v>0</v>
      </c>
      <c r="T17" s="223">
        <f t="shared" ref="T17:T23" si="31">R17*0.04</f>
        <v>2320</v>
      </c>
      <c r="U17" s="47">
        <v>2000</v>
      </c>
      <c r="V17" s="104"/>
      <c r="W17" s="47"/>
      <c r="X17" s="47">
        <f t="shared" si="14"/>
        <v>4614.4799999999996</v>
      </c>
      <c r="Y17" s="109">
        <f t="shared" si="26"/>
        <v>2621.6</v>
      </c>
      <c r="Z17" s="109">
        <f t="shared" si="27"/>
        <v>4350</v>
      </c>
      <c r="AA17" s="46">
        <f t="shared" si="28"/>
        <v>73906.080000000002</v>
      </c>
      <c r="AD17" s="47">
        <f t="shared" si="29"/>
        <v>153</v>
      </c>
      <c r="AE17" s="47">
        <f t="shared" si="30"/>
        <v>90.399999999999991</v>
      </c>
      <c r="AG17" s="46">
        <f t="shared" si="12"/>
        <v>74149.48</v>
      </c>
      <c r="AH17" s="159" t="s">
        <v>100</v>
      </c>
      <c r="AI17" s="156"/>
      <c r="AJ17" s="174" t="s">
        <v>117</v>
      </c>
      <c r="AK17" s="206" t="s">
        <v>6</v>
      </c>
      <c r="AL17" s="207"/>
      <c r="AM17" s="209"/>
    </row>
    <row r="18" spans="1:41" x14ac:dyDescent="0.35">
      <c r="B18" t="s">
        <v>94</v>
      </c>
      <c r="C18" t="s">
        <v>116</v>
      </c>
      <c r="D18" t="s">
        <v>116</v>
      </c>
      <c r="F18" s="135"/>
      <c r="G18" s="136" t="s">
        <v>324</v>
      </c>
      <c r="H18" s="230" t="s">
        <v>323</v>
      </c>
      <c r="I18" s="222">
        <v>59565</v>
      </c>
      <c r="J18" s="138">
        <f t="shared" si="25"/>
        <v>2481.875</v>
      </c>
      <c r="K18" s="139" t="s">
        <v>81</v>
      </c>
      <c r="L18" s="140"/>
      <c r="M18" s="137"/>
      <c r="N18" s="137"/>
      <c r="O18" s="141"/>
      <c r="P18" s="141"/>
      <c r="Q18" t="s">
        <v>3</v>
      </c>
      <c r="R18" s="47">
        <f>IF(D18="Yes",VLOOKUP(A18,Tables!$G$2:$J$22,4,0),1)*IF(K18="Hourly",I18*IF(C18="Yes",4,8)*217,I18)</f>
        <v>59565</v>
      </c>
      <c r="S18" s="104">
        <f>(IF(D18="Yes",VLOOKUP(A18,Tables!$G$2:$J$22,4,0),1)*IF(E18="Principal",12000,IF(E18="AP/VP",6000,IF(K18="Hourly",0,IF(OR(M18="Teacher I",M18="Teacher I - ND"),R18*0.02,IF(OR(M18="Teacher III",M18="Teacher II"),R18*0.025,0))))))</f>
        <v>0</v>
      </c>
      <c r="T18" s="223">
        <f t="shared" si="31"/>
        <v>2382.6</v>
      </c>
      <c r="U18" s="47">
        <v>6000</v>
      </c>
      <c r="V18" s="104">
        <v>1000</v>
      </c>
      <c r="W18" s="47"/>
      <c r="X18" s="47">
        <f t="shared" si="14"/>
        <v>4815.4913999999999</v>
      </c>
      <c r="Y18" s="109">
        <f t="shared" si="26"/>
        <v>2692.3379999999997</v>
      </c>
      <c r="Z18" s="109">
        <f t="shared" si="27"/>
        <v>4467.375</v>
      </c>
      <c r="AA18" s="46">
        <f t="shared" si="28"/>
        <v>80922.804400000008</v>
      </c>
      <c r="AD18" s="47">
        <f t="shared" si="29"/>
        <v>459</v>
      </c>
      <c r="AE18" s="47">
        <f t="shared" si="30"/>
        <v>271.2</v>
      </c>
      <c r="AG18" s="46">
        <f t="shared" si="12"/>
        <v>81653.004400000005</v>
      </c>
      <c r="AH18" s="160" t="s">
        <v>119</v>
      </c>
      <c r="AI18" s="125">
        <f>SUM(AI14:AI17)</f>
        <v>0</v>
      </c>
      <c r="AJ18" s="174"/>
      <c r="AK18" s="206"/>
      <c r="AL18" s="207"/>
      <c r="AM18" s="209"/>
    </row>
    <row r="19" spans="1:41" x14ac:dyDescent="0.35">
      <c r="B19" t="s">
        <v>94</v>
      </c>
      <c r="C19" t="s">
        <v>116</v>
      </c>
      <c r="D19" t="s">
        <v>116</v>
      </c>
      <c r="F19" s="135"/>
      <c r="G19" s="137" t="s">
        <v>325</v>
      </c>
      <c r="H19" s="230" t="s">
        <v>326</v>
      </c>
      <c r="I19" s="222">
        <v>61655</v>
      </c>
      <c r="J19" s="138">
        <f t="shared" si="25"/>
        <v>2568.9583333333335</v>
      </c>
      <c r="K19" s="139" t="s">
        <v>81</v>
      </c>
      <c r="L19" s="140"/>
      <c r="M19" s="137"/>
      <c r="N19" s="143"/>
      <c r="O19" s="141"/>
      <c r="P19" s="141"/>
      <c r="Q19" t="s">
        <v>3</v>
      </c>
      <c r="R19" s="47">
        <f>IF(D19="Yes",VLOOKUP(A19,Tables!$G$2:$J$22,4,0),1)*IF(K19="Hourly",I19*IF(C19="Yes",4,8)*217,I19)</f>
        <v>61655</v>
      </c>
      <c r="S19" s="104">
        <f>(IF(D19="Yes",VLOOKUP(A19,Tables!$G$2:$J$22,4,0),1)*IF(E19="Principal",12000,IF(E19="AP/VP",6000,IF(K19="Hourly",0,IF(OR(M19="Teacher I",M19="Teacher I - ND"),R19*0.02,IF(OR(M19="Teacher III",M19="Teacher II"),R19*0.025,0))))))</f>
        <v>0</v>
      </c>
      <c r="T19" s="223">
        <f t="shared" si="31"/>
        <v>2466.2000000000003</v>
      </c>
      <c r="U19" s="47">
        <v>5500</v>
      </c>
      <c r="V19" s="104">
        <v>1000</v>
      </c>
      <c r="W19" s="47"/>
      <c r="X19" s="47">
        <f t="shared" si="14"/>
        <v>4981.7717999999995</v>
      </c>
      <c r="Y19" s="109">
        <f t="shared" si="26"/>
        <v>2786.806</v>
      </c>
      <c r="Z19" s="109">
        <f t="shared" si="27"/>
        <v>4624.125</v>
      </c>
      <c r="AA19" s="46">
        <f t="shared" si="28"/>
        <v>83013.902799999996</v>
      </c>
      <c r="AD19" s="47">
        <f t="shared" si="29"/>
        <v>420.75</v>
      </c>
      <c r="AE19" s="47">
        <f t="shared" si="30"/>
        <v>248.6</v>
      </c>
      <c r="AG19" s="46">
        <f t="shared" si="12"/>
        <v>83683.252800000002</v>
      </c>
      <c r="AH19" s="82"/>
      <c r="AJ19" s="175"/>
      <c r="AK19" s="206"/>
      <c r="AL19" s="207"/>
      <c r="AM19" s="209"/>
    </row>
    <row r="20" spans="1:41" x14ac:dyDescent="0.35">
      <c r="B20" t="s">
        <v>94</v>
      </c>
      <c r="C20" t="s">
        <v>116</v>
      </c>
      <c r="D20" t="s">
        <v>116</v>
      </c>
      <c r="F20" s="135"/>
      <c r="G20" s="136" t="s">
        <v>327</v>
      </c>
      <c r="H20" s="230" t="s">
        <v>328</v>
      </c>
      <c r="I20" s="297">
        <v>69565</v>
      </c>
      <c r="J20" s="138">
        <f t="shared" si="25"/>
        <v>2898.5416666666665</v>
      </c>
      <c r="K20" s="139" t="s">
        <v>81</v>
      </c>
      <c r="L20" s="140"/>
      <c r="M20" s="137"/>
      <c r="N20" s="137"/>
      <c r="O20" s="141"/>
      <c r="P20" s="141"/>
      <c r="Q20" t="s">
        <v>3</v>
      </c>
      <c r="R20" s="47">
        <f>IF(D20="Yes",VLOOKUP(A20,Tables!$G$2:$J$22,4,0),1)*IF(K20="Hourly",I20*IF(C20="Yes",4,8)*217,I20)</f>
        <v>69565</v>
      </c>
      <c r="S20" s="104">
        <f>(IF(D20="Yes",VLOOKUP(A20,Tables!$G$2:$J$22,4,0),1)*IF(E20="Principal",12000,IF(E20="AP/VP",6000,IF(K20="Hourly",0,IF(OR(M20="Teacher I",M20="Teacher I - ND"),R20*0.02,IF(OR(M20="Teacher III",M20="Teacher II"),R20*0.025,0))))))</f>
        <v>0</v>
      </c>
      <c r="T20" s="296">
        <v>2383</v>
      </c>
      <c r="U20" s="298">
        <v>5500</v>
      </c>
      <c r="V20" s="104"/>
      <c r="W20" s="47"/>
      <c r="X20" s="47">
        <f t="shared" si="14"/>
        <v>5504.0219999999999</v>
      </c>
      <c r="Y20" s="109">
        <f t="shared" si="26"/>
        <v>3144.3379999999997</v>
      </c>
      <c r="Z20" s="109">
        <f t="shared" si="27"/>
        <v>5217.375</v>
      </c>
      <c r="AA20" s="46">
        <f t="shared" si="28"/>
        <v>91313.735000000001</v>
      </c>
      <c r="AD20" s="47">
        <f t="shared" si="29"/>
        <v>420.75</v>
      </c>
      <c r="AE20" s="47">
        <f t="shared" si="30"/>
        <v>248.6</v>
      </c>
      <c r="AG20" s="46">
        <f t="shared" si="12"/>
        <v>91983.085000000006</v>
      </c>
      <c r="AH20" s="161" t="s">
        <v>90</v>
      </c>
      <c r="AI20" s="152">
        <f>SUMIFS(X:X,Q:Q,"Operating")</f>
        <v>102572.13865499999</v>
      </c>
      <c r="AJ20" s="174" t="s">
        <v>30</v>
      </c>
      <c r="AK20" s="206" t="s">
        <v>3</v>
      </c>
      <c r="AL20" s="208"/>
      <c r="AM20" s="209"/>
    </row>
    <row r="21" spans="1:41" x14ac:dyDescent="0.35">
      <c r="B21" t="s">
        <v>94</v>
      </c>
      <c r="C21" t="s">
        <v>116</v>
      </c>
      <c r="D21" t="s">
        <v>116</v>
      </c>
      <c r="F21" s="135"/>
      <c r="G21" s="137" t="s">
        <v>329</v>
      </c>
      <c r="H21" s="230" t="s">
        <v>330</v>
      </c>
      <c r="I21" s="222">
        <v>52500</v>
      </c>
      <c r="J21" s="138">
        <f t="shared" si="25"/>
        <v>2187.5</v>
      </c>
      <c r="K21" s="139" t="s">
        <v>81</v>
      </c>
      <c r="L21" s="140"/>
      <c r="M21" s="137"/>
      <c r="N21" s="143"/>
      <c r="O21" s="141"/>
      <c r="P21" s="141"/>
      <c r="Q21" t="s">
        <v>3</v>
      </c>
      <c r="R21" s="47">
        <f>IF(D21="Yes",VLOOKUP(A21,Tables!$G$2:$J$22,4,0),1)*IF(K21="Hourly",I21*IF(C21="Yes",4,8)*217,I21)</f>
        <v>52500</v>
      </c>
      <c r="S21" s="104">
        <f>(IF(D21="Yes",VLOOKUP(A21,Tables!$G$2:$J$22,4,0),1)*IF(E21="Principal",12000,IF(E21="AP/VP",6000,IF(K21="Hourly",0,IF(OR(M21="Teacher I",M21="Teacher I - ND"),R21*0.02,IF(OR(M21="Teacher III",M21="Teacher II"),R21*0.025,0))))))</f>
        <v>0</v>
      </c>
      <c r="T21" s="223">
        <f t="shared" si="31"/>
        <v>2100</v>
      </c>
      <c r="U21" s="47">
        <v>2000</v>
      </c>
      <c r="V21" s="104">
        <v>2000</v>
      </c>
      <c r="W21" s="47"/>
      <c r="X21" s="47">
        <f t="shared" si="14"/>
        <v>4329.8999999999996</v>
      </c>
      <c r="Y21" s="109">
        <f t="shared" si="26"/>
        <v>2373</v>
      </c>
      <c r="Z21" s="109">
        <f t="shared" si="27"/>
        <v>3937.5</v>
      </c>
      <c r="AA21" s="46">
        <f t="shared" si="28"/>
        <v>69240.399999999994</v>
      </c>
      <c r="AD21" s="47">
        <f t="shared" si="29"/>
        <v>153</v>
      </c>
      <c r="AE21" s="47">
        <f t="shared" si="30"/>
        <v>90.399999999999991</v>
      </c>
      <c r="AG21" s="46">
        <f t="shared" si="12"/>
        <v>69483.799999999988</v>
      </c>
      <c r="AH21" s="153" t="s">
        <v>91</v>
      </c>
      <c r="AI21" s="154">
        <f>SUMIFS(Y:Y,Q:Q,"Operating")</f>
        <v>56511.435600000004</v>
      </c>
      <c r="AJ21" s="174" t="s">
        <v>30</v>
      </c>
      <c r="AK21" s="206" t="s">
        <v>3</v>
      </c>
      <c r="AL21" s="208"/>
      <c r="AM21" s="209"/>
    </row>
    <row r="22" spans="1:41" x14ac:dyDescent="0.35">
      <c r="B22" t="s">
        <v>94</v>
      </c>
      <c r="C22" t="s">
        <v>116</v>
      </c>
      <c r="D22" t="s">
        <v>116</v>
      </c>
      <c r="F22" s="135"/>
      <c r="G22" s="136" t="s">
        <v>331</v>
      </c>
      <c r="H22" s="230" t="s">
        <v>332</v>
      </c>
      <c r="I22" s="222">
        <v>57000</v>
      </c>
      <c r="J22" s="138">
        <f t="shared" si="25"/>
        <v>2375</v>
      </c>
      <c r="K22" s="139" t="s">
        <v>81</v>
      </c>
      <c r="L22" s="140"/>
      <c r="M22" s="137"/>
      <c r="N22" s="137"/>
      <c r="O22" s="142"/>
      <c r="P22" s="141"/>
      <c r="Q22" t="s">
        <v>3</v>
      </c>
      <c r="R22" s="47">
        <f>IF(D22="Yes",VLOOKUP(A22,Tables!$G$2:$J$22,4,0),1)*IF(K22="Hourly",I22*IF(C22="Yes",4,8)*217,I22)</f>
        <v>57000</v>
      </c>
      <c r="S22" s="104">
        <f>(IF(D22="Yes",VLOOKUP(A22,Tables!$G$2:$J$22,4,0),1)*IF(E22="Principal",12000,IF(E22="AP/VP",6000,IF(K22="Hourly",0,IF(OR(M22="Teacher I",M22="Teacher I - ND"),R22*0.02,IF(OR(M22="Teacher III",M22="Teacher II"),R22*0.025,0))))))</f>
        <v>0</v>
      </c>
      <c r="T22" s="223">
        <f>R22*0.03</f>
        <v>1710</v>
      </c>
      <c r="U22" s="47">
        <v>2000</v>
      </c>
      <c r="V22" s="104"/>
      <c r="W22" s="47"/>
      <c r="X22" s="47">
        <f t="shared" si="14"/>
        <v>4491.3149999999996</v>
      </c>
      <c r="Y22" s="109">
        <f t="shared" si="26"/>
        <v>2576.3999999999996</v>
      </c>
      <c r="Z22" s="109">
        <f t="shared" si="27"/>
        <v>4275</v>
      </c>
      <c r="AA22" s="46">
        <f t="shared" si="28"/>
        <v>72052.714999999997</v>
      </c>
      <c r="AD22" s="47">
        <f t="shared" si="29"/>
        <v>153</v>
      </c>
      <c r="AE22" s="47">
        <f t="shared" si="30"/>
        <v>90.399999999999991</v>
      </c>
      <c r="AG22" s="46">
        <f t="shared" si="12"/>
        <v>72296.114999999991</v>
      </c>
      <c r="AH22" s="153" t="s">
        <v>92</v>
      </c>
      <c r="AI22" s="154">
        <f>SUMIFS(Z:Z,Q:Q,"Operating")</f>
        <v>90768.975000000006</v>
      </c>
      <c r="AJ22" s="174" t="s">
        <v>30</v>
      </c>
      <c r="AK22" s="206" t="s">
        <v>3</v>
      </c>
      <c r="AL22" s="208"/>
      <c r="AM22" s="209"/>
    </row>
    <row r="23" spans="1:41" ht="29" x14ac:dyDescent="0.35">
      <c r="B23" t="s">
        <v>94</v>
      </c>
      <c r="C23" t="s">
        <v>116</v>
      </c>
      <c r="D23" t="s">
        <v>116</v>
      </c>
      <c r="F23" s="135"/>
      <c r="G23" s="137" t="s">
        <v>333</v>
      </c>
      <c r="H23" s="230" t="s">
        <v>511</v>
      </c>
      <c r="I23" s="222">
        <v>49163</v>
      </c>
      <c r="J23" s="138">
        <f t="shared" si="25"/>
        <v>2048.4583333333335</v>
      </c>
      <c r="K23" s="139" t="s">
        <v>81</v>
      </c>
      <c r="L23" s="140"/>
      <c r="M23" s="137"/>
      <c r="N23" s="143"/>
      <c r="O23" s="142"/>
      <c r="P23" s="203"/>
      <c r="Q23" t="s">
        <v>3</v>
      </c>
      <c r="R23" s="47">
        <f>IF(D23="Yes",VLOOKUP(A23,Tables!$G$2:$J$22,4,0),1)*IF(K23="Hourly",I23*IF(C23="Yes",4,8)*217,I23)</f>
        <v>49163</v>
      </c>
      <c r="S23" s="104">
        <f>(IF(D23="Yes",VLOOKUP(A23,Tables!$G$2:$J$22,4,0),1)*IF(E23="Principal",12000,IF(E23="AP/VP",6000,IF(K23="Hourly",0,IF(OR(M23="Teacher I",M23="Teacher I - ND"),R23*0.02,IF(OR(M23="Teacher III",M23="Teacher II"),R23*0.025,0))))))</f>
        <v>0</v>
      </c>
      <c r="T23" s="223">
        <f t="shared" si="31"/>
        <v>1966.52</v>
      </c>
      <c r="U23" s="47">
        <v>2000</v>
      </c>
      <c r="V23" s="104">
        <v>1000</v>
      </c>
      <c r="W23" s="47"/>
      <c r="X23" s="47">
        <f t="shared" si="14"/>
        <v>3987.9082799999996</v>
      </c>
      <c r="Y23" s="109">
        <f t="shared" si="26"/>
        <v>2222.1675999999998</v>
      </c>
      <c r="Z23" s="109">
        <f t="shared" si="27"/>
        <v>3687.2249999999999</v>
      </c>
      <c r="AA23" s="46">
        <f t="shared" si="28"/>
        <v>64026.820879999992</v>
      </c>
      <c r="AD23" s="47">
        <f t="shared" si="29"/>
        <v>153</v>
      </c>
      <c r="AE23" s="47">
        <f t="shared" si="30"/>
        <v>90.399999999999991</v>
      </c>
      <c r="AG23" s="46">
        <f t="shared" si="12"/>
        <v>64270.220879999993</v>
      </c>
      <c r="AH23" s="162" t="s">
        <v>107</v>
      </c>
      <c r="AI23" s="154">
        <f>SUMIFS(AA:AA,Q:Q,"Operating")+AI18</f>
        <v>1676408.819255</v>
      </c>
      <c r="AJ23" s="175"/>
      <c r="AK23" s="206"/>
      <c r="AL23" s="208"/>
      <c r="AM23" s="209"/>
    </row>
    <row r="24" spans="1:41" x14ac:dyDescent="0.35">
      <c r="A24" s="150" t="s">
        <v>95</v>
      </c>
      <c r="B24" s="150"/>
      <c r="C24" s="150"/>
      <c r="D24" s="150"/>
      <c r="E24" s="150"/>
      <c r="F24" s="150"/>
      <c r="G24" s="150"/>
      <c r="H24" s="303"/>
      <c r="I24" s="114"/>
      <c r="J24" s="150"/>
      <c r="K24" s="150"/>
      <c r="L24" s="150"/>
      <c r="M24" s="150"/>
      <c r="N24" s="150"/>
      <c r="O24" s="150"/>
      <c r="P24" s="150"/>
      <c r="Q24" s="150"/>
      <c r="R24" s="150"/>
      <c r="S24" s="114"/>
      <c r="T24" s="234"/>
      <c r="U24" s="150"/>
      <c r="V24" s="114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46">
        <f t="shared" si="12"/>
        <v>0</v>
      </c>
      <c r="AH24" s="82"/>
      <c r="AI24" s="47"/>
      <c r="AJ24" s="175"/>
      <c r="AK24" s="206"/>
      <c r="AL24" s="207"/>
      <c r="AM24" s="209"/>
      <c r="AO24" s="47">
        <f>IF(Q25="Referendum",AG25-Z25-U25-AD25-AE25,0)</f>
        <v>0</v>
      </c>
    </row>
    <row r="25" spans="1:41" x14ac:dyDescent="0.35">
      <c r="B25" t="s">
        <v>95</v>
      </c>
      <c r="C25" t="s">
        <v>116</v>
      </c>
      <c r="D25" t="s">
        <v>116</v>
      </c>
      <c r="F25" s="135"/>
      <c r="G25" s="299" t="s">
        <v>492</v>
      </c>
      <c r="H25" s="305" t="s">
        <v>493</v>
      </c>
      <c r="I25" s="297">
        <v>40000</v>
      </c>
      <c r="J25" s="300">
        <f t="shared" ref="J25" si="32">+I25/24</f>
        <v>1666.6666666666667</v>
      </c>
      <c r="K25" s="139" t="s">
        <v>81</v>
      </c>
      <c r="L25" s="140"/>
      <c r="M25" s="137"/>
      <c r="N25" s="137"/>
      <c r="O25" s="141"/>
      <c r="P25" s="141"/>
      <c r="Q25" t="s">
        <v>3</v>
      </c>
      <c r="R25" s="47">
        <f>IF(D25="Yes",VLOOKUP(A25,Tables!$G$2:$J$22,4,0),1)*IF(K25="Hourly",I25*IF(C25="Yes",4,8)*217,I25)</f>
        <v>40000</v>
      </c>
      <c r="S25" s="104">
        <f>(IF(D25="Yes",VLOOKUP(A25,Tables!$G$2:$J$22,4,0),1)*IF(E25="Principal",12000,IF(E25="AP/VP",6000,IF(K25="Hourly",0,IF(OR(M25="Teacher I",M25="Teacher I - ND"),R25*0.02,IF(OR(M25="Teacher III",M25="Teacher II"),R25*0.025,0))))))</f>
        <v>0</v>
      </c>
      <c r="T25" s="223">
        <f>IF(OR(K25="Hourly",B25="Admin Team"),R25*0.02,0)</f>
        <v>0</v>
      </c>
      <c r="U25" s="298">
        <v>500</v>
      </c>
      <c r="V25" s="104"/>
      <c r="W25" s="47"/>
      <c r="X25" s="47">
        <f t="shared" si="14"/>
        <v>3060</v>
      </c>
      <c r="Y25" s="109">
        <f t="shared" ref="Y25:Y26" si="33">(R25)*0.0452</f>
        <v>1807.9999999999998</v>
      </c>
      <c r="Z25" s="109"/>
      <c r="AA25" s="46">
        <f>SUM(R25:Z25)</f>
        <v>45368</v>
      </c>
      <c r="AD25" s="47">
        <f t="shared" ref="AD25:AD26" si="34">U25*0.0765</f>
        <v>38.25</v>
      </c>
      <c r="AE25" s="47">
        <f t="shared" ref="AE25:AE26" si="35">U25*0.0452</f>
        <v>22.599999999999998</v>
      </c>
      <c r="AF25" s="47"/>
      <c r="AG25" s="46">
        <f t="shared" si="12"/>
        <v>45428.85</v>
      </c>
      <c r="AH25" s="151" t="s">
        <v>120</v>
      </c>
      <c r="AI25" s="152">
        <f>+AI23-AI9</f>
        <v>1590664.819255</v>
      </c>
      <c r="AJ25" s="175"/>
      <c r="AK25" s="206"/>
      <c r="AL25" s="208"/>
      <c r="AM25" s="324"/>
    </row>
    <row r="26" spans="1:41" x14ac:dyDescent="0.35">
      <c r="B26" t="s">
        <v>95</v>
      </c>
      <c r="C26" t="s">
        <v>116</v>
      </c>
      <c r="D26" t="s">
        <v>116</v>
      </c>
      <c r="F26" s="145"/>
      <c r="G26" s="146"/>
      <c r="H26" s="304"/>
      <c r="I26" s="222"/>
      <c r="J26" s="138"/>
      <c r="K26" s="139"/>
      <c r="L26" s="140"/>
      <c r="M26" s="137"/>
      <c r="N26" s="143"/>
      <c r="O26" s="141"/>
      <c r="P26" s="141"/>
      <c r="Q26" t="s">
        <v>3</v>
      </c>
      <c r="R26" s="47">
        <f>IF(D26="Yes",VLOOKUP(A26,Tables!$G$2:$J$22,4,0),1)*IF(K26="Hourly",I26*IF(C26="Yes",4,8)*217,I26)</f>
        <v>0</v>
      </c>
      <c r="S26" s="104">
        <f>(IF(D26="Yes",VLOOKUP(A26,Tables!$G$2:$J$22,4,0),1)*IF(E26="Principal",12000,IF(E26="AP/VP",6000,IF(K26="Hourly",0,IF(OR(M26="Teacher I",M26="Teacher I - ND"),R26*0.02,IF(OR(M26="Teacher III",M26="Teacher II"),R26*0.025,0))))))</f>
        <v>0</v>
      </c>
      <c r="T26" s="223">
        <f>IF(OR(K26="Hourly",B26="Admin Team"),R26*0.02,0)</f>
        <v>0</v>
      </c>
      <c r="U26" s="47"/>
      <c r="V26" s="104"/>
      <c r="W26" s="47"/>
      <c r="X26" s="47">
        <f t="shared" si="14"/>
        <v>0</v>
      </c>
      <c r="Y26" s="109">
        <f t="shared" si="33"/>
        <v>0</v>
      </c>
      <c r="Z26" s="109"/>
      <c r="AA26" s="46">
        <f>SUM(R26:Z26)</f>
        <v>0</v>
      </c>
      <c r="AD26" s="47">
        <f t="shared" si="34"/>
        <v>0</v>
      </c>
      <c r="AE26" s="47">
        <f t="shared" si="35"/>
        <v>0</v>
      </c>
      <c r="AF26" s="47"/>
      <c r="AG26" s="46">
        <f t="shared" si="12"/>
        <v>0</v>
      </c>
      <c r="AH26" s="162" t="s">
        <v>121</v>
      </c>
      <c r="AI26" s="154">
        <f>'Overall Budget'!B32</f>
        <v>3756507.3481600005</v>
      </c>
      <c r="AJ26" s="175"/>
      <c r="AK26" s="206"/>
      <c r="AL26" s="208"/>
      <c r="AM26" s="324"/>
    </row>
    <row r="27" spans="1:41" x14ac:dyDescent="0.35">
      <c r="A27" s="150" t="str">
        <f>B28</f>
        <v>Operations Staff</v>
      </c>
      <c r="B27" s="150"/>
      <c r="C27" s="150"/>
      <c r="D27" s="150"/>
      <c r="E27" s="150"/>
      <c r="F27" s="150"/>
      <c r="G27" s="150"/>
      <c r="H27" s="303"/>
      <c r="I27" s="114"/>
      <c r="J27" s="150"/>
      <c r="K27" s="150"/>
      <c r="L27" s="150"/>
      <c r="M27" s="150"/>
      <c r="N27" s="150"/>
      <c r="O27" s="150"/>
      <c r="P27" s="150"/>
      <c r="Q27" s="150"/>
      <c r="R27" s="150"/>
      <c r="S27" s="114"/>
      <c r="T27" s="234"/>
      <c r="U27" s="150"/>
      <c r="V27" s="114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46">
        <f t="shared" si="12"/>
        <v>0</v>
      </c>
      <c r="AH27" s="163" t="s">
        <v>122</v>
      </c>
      <c r="AI27" s="164">
        <f>+AI25/AI26</f>
        <v>0.42344248841523868</v>
      </c>
      <c r="AJ27" s="175"/>
      <c r="AK27" s="206"/>
      <c r="AL27" s="208"/>
      <c r="AM27" s="209"/>
    </row>
    <row r="28" spans="1:41" ht="29" x14ac:dyDescent="0.35">
      <c r="B28" t="s">
        <v>123</v>
      </c>
      <c r="C28" t="s">
        <v>116</v>
      </c>
      <c r="D28" t="s">
        <v>116</v>
      </c>
      <c r="F28" s="135"/>
      <c r="G28" s="137" t="s">
        <v>342</v>
      </c>
      <c r="H28" s="230" t="s">
        <v>509</v>
      </c>
      <c r="I28" s="301">
        <v>48645</v>
      </c>
      <c r="J28" s="138">
        <f t="shared" ref="J28:J29" si="36">+I28/24</f>
        <v>2026.875</v>
      </c>
      <c r="K28" s="139" t="s">
        <v>81</v>
      </c>
      <c r="L28" s="140"/>
      <c r="M28" s="147"/>
      <c r="N28" s="147"/>
      <c r="O28" s="148"/>
      <c r="P28" s="149" t="s">
        <v>506</v>
      </c>
      <c r="Q28" s="310" t="s">
        <v>6</v>
      </c>
      <c r="R28" s="47">
        <f>IF(D28="Yes",VLOOKUP(A28,Tables!$G$2:$J$22,4,0),1)*IF(K28="Hourly",I28*IF(C28="Yes",4,8)*217,I28)</f>
        <v>48645</v>
      </c>
      <c r="S28" s="104">
        <f>(IF(D28="Yes",VLOOKUP(A28,Tables!$G$2:$J$22,4,0),1)*IF(E28="Principal",12000,IF(E28="AP/VP",6000,IF(K28="Hourly",0,IF(OR(M28="Teacher I",M28="Teacher I - ND"),R28*0.02,IF(OR(M28="Teacher III",M28="Teacher II"),R28*0.025,0))))))</f>
        <v>0</v>
      </c>
      <c r="T28" s="296">
        <f>9355</f>
        <v>9355</v>
      </c>
      <c r="U28" s="47">
        <v>3190</v>
      </c>
      <c r="V28" s="104"/>
      <c r="W28" s="47"/>
      <c r="X28" s="47">
        <f>(R28+S28+T28+V28+W28)*0.0765</f>
        <v>4437</v>
      </c>
      <c r="Y28" s="109">
        <f t="shared" ref="Y28:Y29" si="37">(R28)*0.0452</f>
        <v>2198.7539999999999</v>
      </c>
      <c r="Z28" s="109">
        <f t="shared" ref="Z28:Z29" si="38">R28*0.075</f>
        <v>3648.375</v>
      </c>
      <c r="AA28" s="46">
        <f>SUM(R28:Z28)</f>
        <v>71474.129000000001</v>
      </c>
      <c r="AD28" s="47">
        <f>U28*0.0765</f>
        <v>244.035</v>
      </c>
      <c r="AE28" s="47">
        <f>U28*0.0452</f>
        <v>144.18799999999999</v>
      </c>
      <c r="AG28" s="46">
        <f>SUM(AA28:AE28)</f>
        <v>71862.351999999999</v>
      </c>
      <c r="AH28" s="46"/>
      <c r="AJ28" s="175"/>
      <c r="AK28" s="206"/>
      <c r="AL28" s="208"/>
      <c r="AM28" s="209"/>
    </row>
    <row r="29" spans="1:41" x14ac:dyDescent="0.35">
      <c r="B29" t="s">
        <v>123</v>
      </c>
      <c r="C29" t="s">
        <v>116</v>
      </c>
      <c r="D29" t="s">
        <v>116</v>
      </c>
      <c r="F29" s="135"/>
      <c r="G29" s="137" t="s">
        <v>343</v>
      </c>
      <c r="H29" s="230" t="s">
        <v>344</v>
      </c>
      <c r="I29" s="222">
        <v>48645</v>
      </c>
      <c r="J29" s="138">
        <f t="shared" si="36"/>
        <v>2026.875</v>
      </c>
      <c r="K29" s="139" t="s">
        <v>81</v>
      </c>
      <c r="L29" s="140"/>
      <c r="M29" s="137"/>
      <c r="N29" s="143"/>
      <c r="O29" s="141"/>
      <c r="P29" s="141"/>
      <c r="Q29" t="s">
        <v>3</v>
      </c>
      <c r="R29" s="47">
        <f>IF(D29="Yes",VLOOKUP(A29,Tables!$G$2:$J$22,4,0),1)*IF(K29="Hourly",I29*IF(C29="Yes",4,8)*217,I29)</f>
        <v>48645</v>
      </c>
      <c r="S29" s="104">
        <v>1000</v>
      </c>
      <c r="T29" s="223">
        <f>R29*0.03</f>
        <v>1459.35</v>
      </c>
      <c r="U29" s="47">
        <v>2756</v>
      </c>
      <c r="V29" s="104"/>
      <c r="W29" s="47"/>
      <c r="X29" s="47">
        <f t="shared" si="14"/>
        <v>3909.4827749999999</v>
      </c>
      <c r="Y29" s="109">
        <f t="shared" si="37"/>
        <v>2198.7539999999999</v>
      </c>
      <c r="Z29" s="109">
        <f t="shared" si="38"/>
        <v>3648.375</v>
      </c>
      <c r="AA29" s="46">
        <f>SUM(R29:Z29)</f>
        <v>63616.961774999996</v>
      </c>
      <c r="AD29" s="47">
        <f t="shared" ref="AD29" si="39">U29*0.0765</f>
        <v>210.834</v>
      </c>
      <c r="AE29" s="47">
        <f t="shared" ref="AE29" si="40">U29*0.0452</f>
        <v>124.57119999999999</v>
      </c>
      <c r="AG29" s="46">
        <f t="shared" si="12"/>
        <v>63952.366974999997</v>
      </c>
      <c r="AJ29" s="175"/>
      <c r="AK29" s="206"/>
      <c r="AL29" s="208"/>
      <c r="AM29" s="209"/>
    </row>
    <row r="30" spans="1:41" ht="29" x14ac:dyDescent="0.35">
      <c r="B30" t="s">
        <v>123</v>
      </c>
      <c r="C30" t="s">
        <v>116</v>
      </c>
      <c r="D30" t="s">
        <v>116</v>
      </c>
      <c r="F30" s="135"/>
      <c r="G30" s="137" t="s">
        <v>387</v>
      </c>
      <c r="H30" s="230" t="s">
        <v>496</v>
      </c>
      <c r="I30" s="222">
        <v>42000</v>
      </c>
      <c r="J30" s="138">
        <f t="shared" ref="J30" si="41">+I30/24</f>
        <v>1750</v>
      </c>
      <c r="K30" s="139" t="s">
        <v>81</v>
      </c>
      <c r="L30" s="140"/>
      <c r="M30" s="137"/>
      <c r="N30" s="143"/>
      <c r="O30" s="141"/>
      <c r="P30" s="141"/>
      <c r="Q30" t="s">
        <v>3</v>
      </c>
      <c r="R30" s="47">
        <f>IF(D30="Yes",VLOOKUP(A30,Tables!$G$2:$J$22,4,0),1)*IF(K30="Hourly",I30*IF(C30="Yes",4,8)*217,I30)</f>
        <v>42000</v>
      </c>
      <c r="S30" s="104">
        <f>(IF(D30="Yes",VLOOKUP(A30,Tables!$G$2:$J$22,4,0),1)*IF(E30="Principal",12000,IF(E30="AP/VP",6000,IF(K30="Hourly",0,IF(OR(M30="Teacher I",M30="Teacher I - ND"),R30*0.02,IF(OR(M30="Teacher III",M30="Teacher II"),R30*0.025,0))))))</f>
        <v>0</v>
      </c>
      <c r="T30" s="223">
        <v>0</v>
      </c>
      <c r="U30" s="298">
        <v>500</v>
      </c>
      <c r="V30" s="104"/>
      <c r="W30" s="47"/>
      <c r="X30" s="47">
        <f t="shared" ref="X30" si="42">(R30+S30+T30+V30+W30)*0.0765</f>
        <v>3213</v>
      </c>
      <c r="Y30" s="109">
        <f t="shared" ref="Y30" si="43">(R30)*0.0452</f>
        <v>1898.3999999999999</v>
      </c>
      <c r="Z30" s="109">
        <f t="shared" ref="Z30" si="44">R30*0.075</f>
        <v>3150</v>
      </c>
      <c r="AA30" s="46">
        <f>SUM(R30:Z30)</f>
        <v>50761.4</v>
      </c>
      <c r="AD30" s="47">
        <f t="shared" ref="AD30" si="45">U30*0.0765</f>
        <v>38.25</v>
      </c>
      <c r="AE30" s="47">
        <f t="shared" ref="AE30" si="46">U30*0.0452</f>
        <v>22.599999999999998</v>
      </c>
      <c r="AG30" s="46">
        <f t="shared" ref="AG30" si="47">SUM(AA30:AE30)</f>
        <v>50822.25</v>
      </c>
      <c r="AJ30" s="175"/>
      <c r="AK30" s="206"/>
      <c r="AL30" s="208"/>
      <c r="AM30" s="209"/>
    </row>
    <row r="31" spans="1:41" ht="42.65" customHeight="1" x14ac:dyDescent="0.35">
      <c r="B31" t="s">
        <v>123</v>
      </c>
      <c r="C31" t="s">
        <v>116</v>
      </c>
      <c r="D31" t="s">
        <v>116</v>
      </c>
      <c r="G31" s="137" t="s">
        <v>337</v>
      </c>
      <c r="H31" s="230" t="s">
        <v>510</v>
      </c>
      <c r="I31" s="222">
        <v>38000</v>
      </c>
      <c r="J31" s="138">
        <f t="shared" ref="J31" si="48">+I31/24</f>
        <v>1583.3333333333333</v>
      </c>
      <c r="K31" s="139" t="s">
        <v>81</v>
      </c>
      <c r="L31" s="140"/>
      <c r="M31" s="137"/>
      <c r="N31" s="143"/>
      <c r="O31" s="141"/>
      <c r="P31" s="141" t="s">
        <v>507</v>
      </c>
      <c r="Q31" t="s">
        <v>3</v>
      </c>
      <c r="R31" s="47">
        <f>IF(D31="Yes",VLOOKUP(A31,Tables!$G$2:$J$22,4,0),1)*IF(K31="Hourly",I31*IF(C31="Yes",4,8)*217,I31)</f>
        <v>38000</v>
      </c>
      <c r="S31" s="104">
        <f>(IF(D31="Yes",VLOOKUP(A31,Tables!$G$2:$J$22,4,0),1)*IF(E31="Principal",12000,IF(E31="AP/VP",6000,IF(K31="Hourly",0,IF(OR(M31="Teacher I",M31="Teacher I - ND"),R31*0.02,IF(OR(M31="Teacher III",M31="Teacher II"),R31*0.025,0))))))</f>
        <v>0</v>
      </c>
      <c r="T31" s="223">
        <v>4000</v>
      </c>
      <c r="U31" s="47">
        <v>2310</v>
      </c>
      <c r="V31" s="104"/>
      <c r="W31" s="47"/>
      <c r="X31" s="47">
        <f t="shared" ref="X31" si="49">(R31+S31+T31+V31+W31)*0.0765</f>
        <v>3213</v>
      </c>
      <c r="Y31" s="109">
        <f t="shared" ref="Y31" si="50">(R31)*0.0452</f>
        <v>1717.6</v>
      </c>
      <c r="Z31" s="109">
        <f t="shared" ref="Z31" si="51">R31*0.075</f>
        <v>2850</v>
      </c>
      <c r="AA31" s="46">
        <f>SUM(R31:Z31)</f>
        <v>52090.6</v>
      </c>
      <c r="AD31" s="47">
        <f t="shared" ref="AD31" si="52">U31*0.0765</f>
        <v>176.715</v>
      </c>
      <c r="AE31" s="47">
        <f t="shared" ref="AE31" si="53">U31*0.0452</f>
        <v>104.41199999999999</v>
      </c>
      <c r="AG31" s="46">
        <f t="shared" ref="AG31" si="54">SUM(AA31:AE31)</f>
        <v>52371.726999999992</v>
      </c>
      <c r="AH31" s="165" t="s">
        <v>124</v>
      </c>
      <c r="AJ31" s="175"/>
      <c r="AK31" s="206"/>
      <c r="AL31" s="208"/>
      <c r="AM31" s="209"/>
    </row>
    <row r="32" spans="1:41" x14ac:dyDescent="0.35">
      <c r="Z32" s="212">
        <f>3626.94/48383.78</f>
        <v>7.4961898388261519E-2</v>
      </c>
      <c r="AG32" s="47">
        <f>SUM(AG4:AG31)</f>
        <v>1755309.9341549997</v>
      </c>
      <c r="AH32" s="166"/>
      <c r="AJ32" s="175"/>
      <c r="AK32" s="206"/>
      <c r="AL32" s="208"/>
      <c r="AM32" s="209"/>
    </row>
    <row r="33" spans="9:39" x14ac:dyDescent="0.35">
      <c r="I33" s="292">
        <f>SUM(I3:I32)</f>
        <v>1298898</v>
      </c>
      <c r="R33" s="292"/>
      <c r="S33" s="311">
        <f>SUM(S3:S32)</f>
        <v>24500</v>
      </c>
      <c r="T33" s="292">
        <f>SUM(T3:T32)</f>
        <v>61414.27</v>
      </c>
      <c r="U33" s="311">
        <f>SUM(U3:U32)</f>
        <v>88934</v>
      </c>
      <c r="V33" s="311">
        <f>SUM(V3:V32)</f>
        <v>14000</v>
      </c>
      <c r="X33" s="292">
        <f>SUM(X3:X32)</f>
        <v>107009.13865499999</v>
      </c>
      <c r="Y33" s="292">
        <f>SUM(Y3:Y32)</f>
        <v>58710.189600000005</v>
      </c>
      <c r="Z33" s="292">
        <f>SUM(Z4:Z31)</f>
        <v>94417.35</v>
      </c>
      <c r="AA33" s="292">
        <f t="shared" ref="AA33:AF33" si="55">SUM(AA4:AA32)</f>
        <v>1747882.9482549999</v>
      </c>
      <c r="AB33" s="292">
        <f t="shared" si="55"/>
        <v>0</v>
      </c>
      <c r="AC33" s="292">
        <f t="shared" si="55"/>
        <v>0</v>
      </c>
      <c r="AD33" s="292">
        <f>SUM(AD4:AD32)</f>
        <v>4668.5654999999997</v>
      </c>
      <c r="AE33" s="292">
        <f>SUM(AE4:AE32)</f>
        <v>2758.4204</v>
      </c>
      <c r="AF33" s="292">
        <f t="shared" si="55"/>
        <v>0</v>
      </c>
      <c r="AG33" s="47">
        <f>SUM(AA33:AF33)</f>
        <v>1755309.9341549999</v>
      </c>
      <c r="AH33" s="166"/>
      <c r="AJ33" s="175"/>
      <c r="AK33" s="206"/>
      <c r="AL33" s="208"/>
      <c r="AM33" s="209"/>
    </row>
    <row r="34" spans="9:39" x14ac:dyDescent="0.35"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G34" s="46"/>
      <c r="AH34" s="166"/>
      <c r="AJ34" s="175"/>
      <c r="AK34" s="206"/>
      <c r="AL34" s="208"/>
      <c r="AM34" s="209"/>
    </row>
    <row r="35" spans="9:39" x14ac:dyDescent="0.35">
      <c r="AD35" s="292"/>
      <c r="AG35" s="46">
        <f>'Overall Budget'!F39</f>
        <v>1755309.819255</v>
      </c>
      <c r="AH35" s="166"/>
      <c r="AI35" s="204"/>
      <c r="AJ35" s="175"/>
      <c r="AK35" s="206"/>
      <c r="AL35" s="207"/>
      <c r="AM35" s="209"/>
    </row>
    <row r="36" spans="9:39" x14ac:dyDescent="0.35">
      <c r="S36" s="46"/>
      <c r="AG36" s="46">
        <f>AG33-AG35</f>
        <v>0.11489999992772937</v>
      </c>
      <c r="AH36" s="166"/>
      <c r="AI36" s="83"/>
      <c r="AJ36" s="175"/>
      <c r="AK36" s="206"/>
      <c r="AL36" s="207"/>
      <c r="AM36" s="210"/>
    </row>
    <row r="37" spans="9:39" x14ac:dyDescent="0.35">
      <c r="S37" s="46"/>
      <c r="U37" s="292"/>
      <c r="AB37" s="292"/>
      <c r="AH37" s="166"/>
      <c r="AJ37" s="175"/>
      <c r="AK37" s="206"/>
      <c r="AL37" s="207"/>
      <c r="AM37" s="207"/>
    </row>
    <row r="38" spans="9:39" x14ac:dyDescent="0.35">
      <c r="AG38" s="103"/>
      <c r="AH38" s="166"/>
      <c r="AJ38" s="175"/>
      <c r="AK38" s="206"/>
      <c r="AL38" s="207"/>
      <c r="AM38" s="209"/>
    </row>
    <row r="39" spans="9:39" x14ac:dyDescent="0.35">
      <c r="AF39" s="214"/>
      <c r="AG39" s="103"/>
      <c r="AH39" s="166"/>
      <c r="AJ39" s="175"/>
      <c r="AK39" s="206"/>
      <c r="AL39" s="207"/>
      <c r="AM39" s="209"/>
    </row>
    <row r="40" spans="9:39" x14ac:dyDescent="0.35">
      <c r="AF40" s="214"/>
      <c r="AG40" s="103"/>
      <c r="AH40" s="166"/>
      <c r="AJ40" s="175"/>
      <c r="AK40" s="206"/>
      <c r="AL40" s="207"/>
      <c r="AM40" s="209"/>
    </row>
    <row r="41" spans="9:39" x14ac:dyDescent="0.35">
      <c r="AF41" s="82"/>
      <c r="AG41" s="215"/>
      <c r="AH41" s="166"/>
      <c r="AJ41" s="175"/>
      <c r="AK41" s="206"/>
      <c r="AL41" s="207"/>
      <c r="AM41" s="209"/>
    </row>
    <row r="42" spans="9:39" x14ac:dyDescent="0.35">
      <c r="AH42" s="166"/>
      <c r="AJ42" s="175"/>
      <c r="AK42" s="206"/>
      <c r="AL42" s="207"/>
      <c r="AM42" s="209"/>
    </row>
    <row r="43" spans="9:39" x14ac:dyDescent="0.35">
      <c r="AH43" s="126"/>
      <c r="AJ43" s="175"/>
      <c r="AK43" s="206"/>
    </row>
    <row r="44" spans="9:39" x14ac:dyDescent="0.35">
      <c r="AJ44" s="175"/>
      <c r="AK44" s="206"/>
    </row>
    <row r="45" spans="9:39" x14ac:dyDescent="0.35">
      <c r="AH45" s="82"/>
    </row>
    <row r="46" spans="9:39" x14ac:dyDescent="0.35">
      <c r="AH46" s="147"/>
      <c r="AI46" s="185"/>
      <c r="AJ46" s="11"/>
    </row>
    <row r="47" spans="9:39" x14ac:dyDescent="0.35">
      <c r="AH47" s="147"/>
      <c r="AI47" s="185"/>
      <c r="AJ47" s="11"/>
    </row>
    <row r="48" spans="9:39" x14ac:dyDescent="0.35">
      <c r="AH48" s="147"/>
      <c r="AI48" s="185"/>
      <c r="AJ48" s="11"/>
    </row>
    <row r="49" spans="34:36" x14ac:dyDescent="0.35">
      <c r="AH49" s="147"/>
      <c r="AI49" s="185"/>
      <c r="AJ49" s="11"/>
    </row>
    <row r="50" spans="34:36" x14ac:dyDescent="0.35">
      <c r="AH50" s="147"/>
      <c r="AI50" s="185"/>
      <c r="AJ50" s="11"/>
    </row>
    <row r="51" spans="34:36" x14ac:dyDescent="0.35">
      <c r="AH51" s="147"/>
      <c r="AI51" s="185"/>
      <c r="AJ51" s="11"/>
    </row>
    <row r="52" spans="34:36" x14ac:dyDescent="0.35">
      <c r="AH52" s="147"/>
      <c r="AI52" s="185"/>
      <c r="AJ52" s="11"/>
    </row>
    <row r="53" spans="34:36" x14ac:dyDescent="0.35">
      <c r="AH53" s="147"/>
      <c r="AI53" s="185"/>
      <c r="AJ53" s="11"/>
    </row>
    <row r="54" spans="34:36" x14ac:dyDescent="0.35">
      <c r="AH54" s="211"/>
      <c r="AI54" s="185"/>
    </row>
    <row r="55" spans="34:36" x14ac:dyDescent="0.35">
      <c r="AH55" s="211"/>
      <c r="AI55" s="185"/>
      <c r="AJ55" s="11"/>
    </row>
    <row r="59" spans="34:36" x14ac:dyDescent="0.35">
      <c r="AH59" s="165" t="s">
        <v>133</v>
      </c>
    </row>
    <row r="60" spans="34:36" x14ac:dyDescent="0.35">
      <c r="AH60" s="167" t="s">
        <v>134</v>
      </c>
      <c r="AI60" s="168">
        <f>SUM(AA:AA)</f>
        <v>3495765.8965099999</v>
      </c>
    </row>
    <row r="61" spans="34:36" x14ac:dyDescent="0.35">
      <c r="AH61" s="169" t="s">
        <v>135</v>
      </c>
      <c r="AI61" s="170">
        <f>SUMIFS(AA:AA,Q:Q,"Operating")</f>
        <v>1676408.819255</v>
      </c>
    </row>
    <row r="62" spans="34:36" x14ac:dyDescent="0.35">
      <c r="AH62" s="169" t="s">
        <v>136</v>
      </c>
      <c r="AI62" s="170">
        <f>+AI9</f>
        <v>85744</v>
      </c>
    </row>
    <row r="63" spans="34:36" x14ac:dyDescent="0.35">
      <c r="AH63" s="169" t="s">
        <v>137</v>
      </c>
      <c r="AI63" s="170" t="e">
        <f>+AI57+#REF!</f>
        <v>#REF!</v>
      </c>
      <c r="AJ63" s="46"/>
    </row>
    <row r="64" spans="34:36" x14ac:dyDescent="0.35">
      <c r="AH64" s="169" t="s">
        <v>138</v>
      </c>
      <c r="AI64" s="170" t="e">
        <f>+AI63+AI62</f>
        <v>#REF!</v>
      </c>
    </row>
    <row r="65" spans="34:37" x14ac:dyDescent="0.35">
      <c r="AH65" s="169" t="s">
        <v>139</v>
      </c>
      <c r="AI65" s="170" t="e">
        <f>+AI61-AI62-AI63</f>
        <v>#REF!</v>
      </c>
    </row>
    <row r="66" spans="34:37" x14ac:dyDescent="0.35">
      <c r="AH66" s="169" t="s">
        <v>140</v>
      </c>
      <c r="AI66" s="170">
        <f>SUMIFS(AA:AA,Q:Q,"Referendum")</f>
        <v>71474.129000000001</v>
      </c>
    </row>
    <row r="67" spans="34:37" x14ac:dyDescent="0.35">
      <c r="AH67" s="169" t="s">
        <v>119</v>
      </c>
      <c r="AI67" s="170">
        <f>AI18</f>
        <v>0</v>
      </c>
      <c r="AJ67" s="46"/>
    </row>
    <row r="68" spans="34:37" x14ac:dyDescent="0.35">
      <c r="AH68" s="169" t="s">
        <v>141</v>
      </c>
      <c r="AI68" s="170" t="e">
        <f>+AI66+AI64</f>
        <v>#REF!</v>
      </c>
    </row>
    <row r="69" spans="34:37" x14ac:dyDescent="0.35">
      <c r="AH69" s="169" t="s">
        <v>142</v>
      </c>
      <c r="AI69" s="170">
        <f>+AI60-AI61-AI66</f>
        <v>1747882.9482549999</v>
      </c>
    </row>
    <row r="70" spans="34:37" x14ac:dyDescent="0.35">
      <c r="AH70" s="171" t="s">
        <v>0</v>
      </c>
      <c r="AI70" s="172" t="e">
        <f>SUM(AI64:AI67,AI69)</f>
        <v>#REF!</v>
      </c>
      <c r="AJ70" s="47">
        <f>AG31+AI18</f>
        <v>52371.726999999992</v>
      </c>
      <c r="AK70" t="s">
        <v>143</v>
      </c>
    </row>
    <row r="71" spans="34:37" x14ac:dyDescent="0.35">
      <c r="AJ71" s="47" t="e">
        <f>AI2+AI4+AI8+AI9+AI10+AI18+AI20+AI21+AI22+#REF!+AI46+AI47+AI48+AI49+AI51+AI52+AI53+AI55+AI83+AI84</f>
        <v>#REF!</v>
      </c>
      <c r="AK71" t="s">
        <v>144</v>
      </c>
    </row>
    <row r="72" spans="34:37" x14ac:dyDescent="0.35">
      <c r="AJ72" s="47" t="e">
        <f>'Overall Budget'!#REF!</f>
        <v>#REF!</v>
      </c>
      <c r="AK72" s="46" t="s">
        <v>145</v>
      </c>
    </row>
    <row r="74" spans="34:37" x14ac:dyDescent="0.35">
      <c r="AH74" s="176" t="s">
        <v>146</v>
      </c>
      <c r="AJ74" s="175"/>
      <c r="AK74" s="206"/>
    </row>
    <row r="75" spans="34:37" x14ac:dyDescent="0.35">
      <c r="AH75" s="153" t="s">
        <v>125</v>
      </c>
      <c r="AI75" s="177">
        <f>SUMIFS(R:R,Q:Q,"Title I")</f>
        <v>0</v>
      </c>
      <c r="AJ75" s="174" t="s">
        <v>27</v>
      </c>
      <c r="AK75" s="206" t="s">
        <v>3</v>
      </c>
    </row>
    <row r="76" spans="34:37" x14ac:dyDescent="0.35">
      <c r="AH76" s="153" t="s">
        <v>126</v>
      </c>
      <c r="AI76" s="178">
        <f>SUMIFS(S:S,Q:Q,"Title I")</f>
        <v>0</v>
      </c>
      <c r="AJ76" s="174" t="s">
        <v>117</v>
      </c>
      <c r="AK76" s="206" t="s">
        <v>3</v>
      </c>
    </row>
    <row r="77" spans="34:37" x14ac:dyDescent="0.35">
      <c r="AH77" s="153" t="s">
        <v>127</v>
      </c>
      <c r="AI77" s="178">
        <f>SUMIFS(T:T,Q:Q,"Title I")</f>
        <v>0</v>
      </c>
      <c r="AJ77" s="174" t="s">
        <v>27</v>
      </c>
      <c r="AK77" s="206" t="s">
        <v>3</v>
      </c>
    </row>
    <row r="78" spans="34:37" x14ac:dyDescent="0.35">
      <c r="AH78" s="153" t="s">
        <v>128</v>
      </c>
      <c r="AI78" s="178">
        <f>SUMIFS(U:U,Q:Q,"Title I")</f>
        <v>0</v>
      </c>
      <c r="AJ78" s="174" t="s">
        <v>6</v>
      </c>
      <c r="AK78" s="206" t="s">
        <v>3</v>
      </c>
    </row>
    <row r="79" spans="34:37" x14ac:dyDescent="0.35">
      <c r="AH79" s="155" t="s">
        <v>129</v>
      </c>
      <c r="AI79" s="179">
        <f>SUMIFS(V:V,Q:Q,"Title I")</f>
        <v>0</v>
      </c>
      <c r="AJ79" s="174" t="s">
        <v>117</v>
      </c>
      <c r="AK79" s="206" t="s">
        <v>3</v>
      </c>
    </row>
    <row r="80" spans="34:37" x14ac:dyDescent="0.35">
      <c r="AH80" s="161" t="s">
        <v>110</v>
      </c>
      <c r="AI80" s="177">
        <f>SUMIFS(X:X,Q:Q,"Title I")</f>
        <v>0</v>
      </c>
      <c r="AJ80" s="174" t="s">
        <v>30</v>
      </c>
      <c r="AK80" s="206" t="s">
        <v>3</v>
      </c>
    </row>
    <row r="81" spans="34:37" x14ac:dyDescent="0.35">
      <c r="AH81" s="153" t="s">
        <v>111</v>
      </c>
      <c r="AI81" s="178">
        <f>SUMIFS(Y:Y,Q:Q,"Title I")</f>
        <v>0</v>
      </c>
      <c r="AJ81" s="174" t="s">
        <v>30</v>
      </c>
      <c r="AK81" s="206" t="s">
        <v>3</v>
      </c>
    </row>
    <row r="82" spans="34:37" x14ac:dyDescent="0.35">
      <c r="AH82" s="153" t="s">
        <v>130</v>
      </c>
      <c r="AI82" s="178">
        <f>SUMIFS(Z:Z,Q:Q,"Title I")</f>
        <v>0</v>
      </c>
      <c r="AJ82" s="174" t="s">
        <v>30</v>
      </c>
      <c r="AK82" s="206" t="s">
        <v>3</v>
      </c>
    </row>
    <row r="83" spans="34:37" x14ac:dyDescent="0.35">
      <c r="AH83" s="162" t="s">
        <v>131</v>
      </c>
      <c r="AI83" s="178">
        <f>SUMIFS(AA:AA,Q:Q,"Title I")</f>
        <v>0</v>
      </c>
      <c r="AJ83" s="175"/>
      <c r="AK83" s="206"/>
    </row>
    <row r="84" spans="34:37" x14ac:dyDescent="0.35">
      <c r="AH84" s="163" t="s">
        <v>132</v>
      </c>
      <c r="AI84" s="156">
        <f>SUMIFS(AE:AE,Q:Q,"Title I")+SUMIFS(AD:AD,Q:Q,"Title I")</f>
        <v>0</v>
      </c>
      <c r="AJ84" s="174" t="s">
        <v>30</v>
      </c>
      <c r="AK84" s="206" t="s">
        <v>3</v>
      </c>
    </row>
  </sheetData>
  <protectedRanges>
    <protectedRange sqref="N25:P26 N15:P23 N3:P7 N29:P31 N9:P13" name="Range1_2_1_1"/>
    <protectedRange sqref="N1:P1" name="Range1_2_1_2"/>
  </protectedRanges>
  <mergeCells count="1">
    <mergeCell ref="AM25:AM26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F9998-BC75-42B8-80D7-6C7713A0E84F}">
  <dimension ref="A1:O2"/>
  <sheetViews>
    <sheetView workbookViewId="0"/>
  </sheetViews>
  <sheetFormatPr defaultRowHeight="14.5" x14ac:dyDescent="0.35"/>
  <cols>
    <col min="2" max="4" width="11.81640625" customWidth="1"/>
    <col min="5" max="5" width="12.1796875" customWidth="1"/>
    <col min="8" max="8" width="11.1796875" customWidth="1"/>
    <col min="9" max="9" width="12.81640625" customWidth="1"/>
    <col min="11" max="11" width="12.81640625" customWidth="1"/>
    <col min="12" max="12" width="12.453125" customWidth="1"/>
    <col min="13" max="13" width="11.54296875" bestFit="1" customWidth="1"/>
    <col min="14" max="14" width="12.453125" customWidth="1"/>
    <col min="15" max="15" width="12.81640625" customWidth="1"/>
  </cols>
  <sheetData>
    <row r="1" spans="1:15" ht="60" thickBot="1" x14ac:dyDescent="0.55000000000000004">
      <c r="A1" s="193" t="s">
        <v>68</v>
      </c>
      <c r="B1" s="193" t="s">
        <v>69</v>
      </c>
      <c r="C1" s="193" t="s">
        <v>70</v>
      </c>
      <c r="D1" s="193" t="s">
        <v>71</v>
      </c>
      <c r="E1" s="187" t="s">
        <v>361</v>
      </c>
      <c r="G1" s="186" t="s">
        <v>72</v>
      </c>
      <c r="H1" s="187" t="s">
        <v>71</v>
      </c>
      <c r="I1" s="187" t="s">
        <v>73</v>
      </c>
      <c r="J1" s="188"/>
      <c r="K1" s="186" t="s">
        <v>73</v>
      </c>
      <c r="L1" s="187" t="s">
        <v>74</v>
      </c>
      <c r="M1" s="187" t="s">
        <v>75</v>
      </c>
      <c r="N1" s="189">
        <v>0.8</v>
      </c>
      <c r="O1" s="190" t="s">
        <v>76</v>
      </c>
    </row>
    <row r="2" spans="1:15" x14ac:dyDescent="0.35">
      <c r="A2" s="216" t="s">
        <v>162</v>
      </c>
      <c r="B2" s="129">
        <v>1184.58</v>
      </c>
      <c r="C2" s="129">
        <v>1361.39</v>
      </c>
      <c r="D2" s="130">
        <v>1545.01</v>
      </c>
      <c r="E2" s="130">
        <v>1684.06</v>
      </c>
      <c r="F2" s="83"/>
      <c r="G2" s="191">
        <f>Enrollment!C5</f>
        <v>368</v>
      </c>
      <c r="H2" s="217">
        <v>1684.0609000000002</v>
      </c>
      <c r="I2" s="218">
        <f>G2*H2</f>
        <v>619734.41120000009</v>
      </c>
      <c r="J2" s="27"/>
      <c r="K2" s="219">
        <f t="shared" ref="K2" si="0">I2</f>
        <v>619734.41120000009</v>
      </c>
      <c r="L2" s="217">
        <f>G2*699.2</f>
        <v>257305.60000000001</v>
      </c>
      <c r="M2" s="218">
        <f>K2-L2</f>
        <v>362428.81120000011</v>
      </c>
      <c r="N2" s="220">
        <f t="shared" ref="N2" si="1">M2*0.8</f>
        <v>289943.0489600001</v>
      </c>
      <c r="O2" s="192">
        <f t="shared" ref="O2" si="2">N2</f>
        <v>289943.0489600001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13FC-1D8C-48A2-99B4-2A3DCAA975BB}">
  <sheetPr>
    <tabColor theme="5" tint="0.59999389629810485"/>
  </sheetPr>
  <dimension ref="A1:P49"/>
  <sheetViews>
    <sheetView workbookViewId="0">
      <selection activeCell="F22" sqref="F22"/>
    </sheetView>
  </sheetViews>
  <sheetFormatPr defaultRowHeight="14.5" x14ac:dyDescent="0.35"/>
  <cols>
    <col min="1" max="1" width="47.54296875" bestFit="1" customWidth="1"/>
    <col min="2" max="2" width="33.90625" bestFit="1" customWidth="1"/>
    <col min="3" max="3" width="15.36328125" style="27" bestFit="1" customWidth="1"/>
    <col min="4" max="4" width="23.1796875" style="27" customWidth="1"/>
    <col min="5" max="5" width="26.1796875" customWidth="1"/>
    <col min="6" max="6" width="27.453125" customWidth="1"/>
    <col min="7" max="7" width="11.54296875" bestFit="1" customWidth="1"/>
    <col min="8" max="8" width="15.453125" customWidth="1"/>
    <col min="9" max="9" width="11.1796875" bestFit="1" customWidth="1"/>
    <col min="10" max="10" width="13.1796875" customWidth="1"/>
    <col min="11" max="11" width="10.1796875" bestFit="1" customWidth="1"/>
    <col min="12" max="12" width="29.81640625" customWidth="1"/>
    <col min="13" max="13" width="9.453125" bestFit="1" customWidth="1"/>
  </cols>
  <sheetData>
    <row r="1" spans="1:9" ht="21" x14ac:dyDescent="0.5">
      <c r="A1" s="13" t="s">
        <v>173</v>
      </c>
      <c r="B1" s="13" t="s">
        <v>174</v>
      </c>
      <c r="C1" s="13" t="s">
        <v>175</v>
      </c>
      <c r="D1" s="13" t="s">
        <v>176</v>
      </c>
      <c r="E1" s="13" t="s">
        <v>87</v>
      </c>
      <c r="F1" s="224" t="s">
        <v>377</v>
      </c>
      <c r="I1" s="27"/>
    </row>
    <row r="2" spans="1:9" x14ac:dyDescent="0.35">
      <c r="A2" s="14" t="s">
        <v>177</v>
      </c>
      <c r="C2" s="103"/>
      <c r="I2" s="27"/>
    </row>
    <row r="3" spans="1:9" x14ac:dyDescent="0.35">
      <c r="A3" s="15" t="s">
        <v>178</v>
      </c>
      <c r="B3" t="s">
        <v>371</v>
      </c>
      <c r="C3" s="127">
        <v>2506</v>
      </c>
      <c r="D3" s="103">
        <f t="shared" ref="D3:D9" si="0">C3*12</f>
        <v>30072</v>
      </c>
      <c r="E3" t="s">
        <v>3</v>
      </c>
      <c r="F3" s="83"/>
    </row>
    <row r="4" spans="1:9" x14ac:dyDescent="0.35">
      <c r="A4" s="15" t="s">
        <v>179</v>
      </c>
      <c r="B4" t="s">
        <v>373</v>
      </c>
      <c r="C4" s="127">
        <v>255</v>
      </c>
      <c r="D4" s="103">
        <f>C4*12</f>
        <v>3060</v>
      </c>
      <c r="E4" t="s">
        <v>3</v>
      </c>
    </row>
    <row r="5" spans="1:9" x14ac:dyDescent="0.35">
      <c r="A5" s="15" t="s">
        <v>180</v>
      </c>
      <c r="C5" s="106"/>
      <c r="D5" s="103">
        <f t="shared" si="0"/>
        <v>0</v>
      </c>
      <c r="E5" t="s">
        <v>3</v>
      </c>
    </row>
    <row r="6" spans="1:9" x14ac:dyDescent="0.35">
      <c r="A6" s="15" t="s">
        <v>181</v>
      </c>
      <c r="B6" t="s">
        <v>376</v>
      </c>
      <c r="C6" s="128">
        <v>115</v>
      </c>
      <c r="D6" s="27">
        <f>C6*12</f>
        <v>1380</v>
      </c>
      <c r="E6" t="s">
        <v>3</v>
      </c>
    </row>
    <row r="7" spans="1:9" x14ac:dyDescent="0.35">
      <c r="A7" s="15" t="s">
        <v>182</v>
      </c>
      <c r="B7" t="s">
        <v>372</v>
      </c>
      <c r="C7" s="127">
        <v>120</v>
      </c>
      <c r="D7" s="27">
        <f t="shared" si="0"/>
        <v>1440</v>
      </c>
      <c r="E7" t="s">
        <v>3</v>
      </c>
    </row>
    <row r="8" spans="1:9" x14ac:dyDescent="0.35">
      <c r="A8" s="15" t="s">
        <v>183</v>
      </c>
      <c r="B8" t="s">
        <v>370</v>
      </c>
      <c r="C8" s="127">
        <v>428</v>
      </c>
      <c r="D8" s="27">
        <f t="shared" si="0"/>
        <v>5136</v>
      </c>
      <c r="E8" t="s">
        <v>3</v>
      </c>
    </row>
    <row r="9" spans="1:9" x14ac:dyDescent="0.35">
      <c r="A9" s="15" t="s">
        <v>417</v>
      </c>
      <c r="B9" t="s">
        <v>444</v>
      </c>
      <c r="C9" s="127">
        <v>144</v>
      </c>
      <c r="D9" s="27">
        <f t="shared" si="0"/>
        <v>1728</v>
      </c>
      <c r="E9" t="s">
        <v>3</v>
      </c>
      <c r="F9" s="82"/>
    </row>
    <row r="10" spans="1:9" x14ac:dyDescent="0.35">
      <c r="A10" s="15"/>
      <c r="C10" s="127"/>
      <c r="D10" s="94">
        <f>SUM(D3:D9)</f>
        <v>42816</v>
      </c>
      <c r="F10" s="82"/>
    </row>
    <row r="11" spans="1:9" x14ac:dyDescent="0.35">
      <c r="A11" s="15"/>
      <c r="C11" s="127"/>
      <c r="D11" s="27">
        <f>D10*0.03</f>
        <v>1284.48</v>
      </c>
      <c r="E11" t="s">
        <v>463</v>
      </c>
      <c r="F11" s="82"/>
    </row>
    <row r="12" spans="1:9" x14ac:dyDescent="0.35">
      <c r="A12" s="16" t="s">
        <v>184</v>
      </c>
      <c r="C12" s="103"/>
      <c r="D12" s="245">
        <f>D10+D11</f>
        <v>44100.480000000003</v>
      </c>
    </row>
    <row r="13" spans="1:9" x14ac:dyDescent="0.35">
      <c r="A13" s="17" t="s">
        <v>185</v>
      </c>
      <c r="D13" s="231"/>
    </row>
    <row r="14" spans="1:9" x14ac:dyDescent="0.35">
      <c r="A14" s="15" t="s">
        <v>186</v>
      </c>
      <c r="C14" s="103"/>
      <c r="D14" s="27">
        <f t="shared" ref="D14:D21" si="1">C14*12</f>
        <v>0</v>
      </c>
      <c r="E14" t="s">
        <v>3</v>
      </c>
      <c r="F14" s="83"/>
      <c r="H14" s="83"/>
    </row>
    <row r="15" spans="1:9" x14ac:dyDescent="0.35">
      <c r="A15" s="15" t="s">
        <v>187</v>
      </c>
      <c r="D15" s="103">
        <f t="shared" si="1"/>
        <v>0</v>
      </c>
      <c r="E15" t="s">
        <v>3</v>
      </c>
      <c r="F15" s="83"/>
      <c r="G15" s="83"/>
      <c r="H15" s="83"/>
    </row>
    <row r="16" spans="1:9" x14ac:dyDescent="0.35">
      <c r="A16" s="15" t="s">
        <v>188</v>
      </c>
      <c r="B16" t="s">
        <v>375</v>
      </c>
      <c r="C16" s="27">
        <v>85</v>
      </c>
      <c r="D16" s="103">
        <f t="shared" si="1"/>
        <v>1020</v>
      </c>
      <c r="E16" t="s">
        <v>3</v>
      </c>
      <c r="F16" s="83"/>
    </row>
    <row r="17" spans="1:8" x14ac:dyDescent="0.35">
      <c r="A17" s="15" t="s">
        <v>189</v>
      </c>
      <c r="D17" s="103">
        <f>C17*12</f>
        <v>0</v>
      </c>
      <c r="E17" t="s">
        <v>3</v>
      </c>
      <c r="F17" s="83"/>
    </row>
    <row r="18" spans="1:8" x14ac:dyDescent="0.35">
      <c r="A18" s="15" t="s">
        <v>190</v>
      </c>
      <c r="B18" t="s">
        <v>413</v>
      </c>
      <c r="C18" s="27">
        <v>2081</v>
      </c>
      <c r="D18" s="103">
        <f t="shared" si="1"/>
        <v>24972</v>
      </c>
      <c r="E18" t="s">
        <v>3</v>
      </c>
      <c r="F18" s="83"/>
    </row>
    <row r="19" spans="1:8" x14ac:dyDescent="0.35">
      <c r="A19" s="15" t="s">
        <v>191</v>
      </c>
      <c r="B19" t="s">
        <v>374</v>
      </c>
      <c r="C19" s="27">
        <v>150</v>
      </c>
      <c r="D19" s="103">
        <f>C19*12</f>
        <v>1800</v>
      </c>
      <c r="E19" t="s">
        <v>3</v>
      </c>
      <c r="F19" s="83"/>
    </row>
    <row r="20" spans="1:8" x14ac:dyDescent="0.35">
      <c r="A20" s="84" t="s">
        <v>192</v>
      </c>
      <c r="B20" t="s">
        <v>427</v>
      </c>
      <c r="D20" s="92">
        <v>12000</v>
      </c>
      <c r="E20" t="s">
        <v>3</v>
      </c>
      <c r="F20" s="243" t="s">
        <v>462</v>
      </c>
    </row>
    <row r="21" spans="1:8" x14ac:dyDescent="0.35">
      <c r="A21" s="15" t="s">
        <v>193</v>
      </c>
      <c r="B21" t="s">
        <v>445</v>
      </c>
      <c r="C21" s="27">
        <v>1071</v>
      </c>
      <c r="D21" s="27">
        <f t="shared" si="1"/>
        <v>12852</v>
      </c>
      <c r="E21" t="s">
        <v>3</v>
      </c>
      <c r="F21" s="83"/>
    </row>
    <row r="22" spans="1:8" x14ac:dyDescent="0.35">
      <c r="A22" s="15" t="s">
        <v>194</v>
      </c>
      <c r="D22" s="27">
        <f>C22*4</f>
        <v>0</v>
      </c>
      <c r="E22" t="s">
        <v>3</v>
      </c>
      <c r="F22" s="83"/>
    </row>
    <row r="23" spans="1:8" x14ac:dyDescent="0.35">
      <c r="A23" s="15"/>
      <c r="D23" s="27">
        <f>C23*12</f>
        <v>0</v>
      </c>
      <c r="E23" t="s">
        <v>3</v>
      </c>
      <c r="F23" s="243"/>
    </row>
    <row r="24" spans="1:8" x14ac:dyDescent="0.35">
      <c r="A24" s="15"/>
      <c r="D24" s="94">
        <f>SUM(D14:D23)</f>
        <v>52644</v>
      </c>
      <c r="F24" s="83"/>
    </row>
    <row r="25" spans="1:8" x14ac:dyDescent="0.35">
      <c r="A25" s="15"/>
      <c r="D25" s="27">
        <f>D24*0.03</f>
        <v>1579.32</v>
      </c>
      <c r="E25" t="s">
        <v>463</v>
      </c>
      <c r="F25" s="83"/>
    </row>
    <row r="26" spans="1:8" x14ac:dyDescent="0.35">
      <c r="A26" s="15"/>
      <c r="D26" s="245">
        <f>D24+D25</f>
        <v>54223.32</v>
      </c>
      <c r="F26" s="83"/>
    </row>
    <row r="27" spans="1:8" x14ac:dyDescent="0.35">
      <c r="A27" s="16" t="s">
        <v>195</v>
      </c>
      <c r="C27" s="103"/>
      <c r="F27" s="83" t="s">
        <v>501</v>
      </c>
      <c r="H27" t="s">
        <v>6</v>
      </c>
    </row>
    <row r="28" spans="1:8" x14ac:dyDescent="0.35">
      <c r="A28" s="15" t="s">
        <v>44</v>
      </c>
      <c r="C28" s="106"/>
      <c r="D28" s="129">
        <f t="shared" ref="D28:D29" si="2">C28*12</f>
        <v>0</v>
      </c>
      <c r="E28" t="s">
        <v>196</v>
      </c>
      <c r="F28" s="83"/>
      <c r="G28" s="27">
        <f>D28-F28</f>
        <v>0</v>
      </c>
      <c r="H28" s="130"/>
    </row>
    <row r="29" spans="1:8" x14ac:dyDescent="0.35">
      <c r="A29" s="16" t="s">
        <v>42</v>
      </c>
      <c r="B29" t="s">
        <v>406</v>
      </c>
      <c r="C29" s="106">
        <v>120</v>
      </c>
      <c r="D29" s="27">
        <f t="shared" si="2"/>
        <v>1440</v>
      </c>
      <c r="E29" t="s">
        <v>3</v>
      </c>
    </row>
    <row r="30" spans="1:8" x14ac:dyDescent="0.35">
      <c r="A30" s="15"/>
    </row>
    <row r="32" spans="1:8" ht="15" thickBot="1" x14ac:dyDescent="0.4"/>
    <row r="33" spans="1:16" ht="21" x14ac:dyDescent="0.5">
      <c r="A33" s="18" t="s">
        <v>197</v>
      </c>
      <c r="C33" s="27" t="s">
        <v>175</v>
      </c>
      <c r="D33" s="27" t="s">
        <v>176</v>
      </c>
    </row>
    <row r="34" spans="1:16" x14ac:dyDescent="0.35">
      <c r="A34" t="s">
        <v>46</v>
      </c>
      <c r="E34" t="s">
        <v>3</v>
      </c>
    </row>
    <row r="36" spans="1:16" ht="15" thickBot="1" x14ac:dyDescent="0.4"/>
    <row r="37" spans="1:16" ht="21" x14ac:dyDescent="0.5">
      <c r="A37" s="18" t="s">
        <v>198</v>
      </c>
      <c r="D37" s="27" t="s">
        <v>176</v>
      </c>
    </row>
    <row r="38" spans="1:16" x14ac:dyDescent="0.35">
      <c r="A38" t="s">
        <v>43</v>
      </c>
      <c r="E38" t="s">
        <v>3</v>
      </c>
    </row>
    <row r="41" spans="1:16" ht="15" thickBot="1" x14ac:dyDescent="0.4"/>
    <row r="42" spans="1:16" ht="21" x14ac:dyDescent="0.5">
      <c r="A42" s="119" t="s">
        <v>66</v>
      </c>
    </row>
    <row r="43" spans="1:16" x14ac:dyDescent="0.35">
      <c r="A43" t="s">
        <v>199</v>
      </c>
      <c r="B43" t="s">
        <v>0</v>
      </c>
      <c r="C43" s="27" t="s">
        <v>200</v>
      </c>
      <c r="D43" s="27" t="s">
        <v>201</v>
      </c>
      <c r="E43" t="s">
        <v>202</v>
      </c>
      <c r="F43" t="s">
        <v>87</v>
      </c>
    </row>
    <row r="44" spans="1:16" x14ac:dyDescent="0.35">
      <c r="B44" s="107">
        <f>(C49+E49)*0</f>
        <v>0</v>
      </c>
      <c r="C44" s="103"/>
      <c r="D44" s="103" t="e">
        <f>B44/C44</f>
        <v>#DIV/0!</v>
      </c>
      <c r="E44" s="83" t="e">
        <f>B44-D44</f>
        <v>#DIV/0!</v>
      </c>
      <c r="F44" t="s">
        <v>3</v>
      </c>
    </row>
    <row r="48" spans="1:16" ht="29" x14ac:dyDescent="0.35">
      <c r="A48" s="88"/>
      <c r="B48" s="89" t="s">
        <v>203</v>
      </c>
      <c r="C48" s="90" t="s">
        <v>204</v>
      </c>
      <c r="D48" s="91" t="s">
        <v>205</v>
      </c>
      <c r="E48" s="90" t="s">
        <v>206</v>
      </c>
      <c r="F48" s="91" t="s">
        <v>207</v>
      </c>
      <c r="G48" s="90" t="s">
        <v>208</v>
      </c>
      <c r="H48" s="91" t="s">
        <v>209</v>
      </c>
      <c r="I48" s="90" t="s">
        <v>210</v>
      </c>
      <c r="J48" s="91" t="s">
        <v>211</v>
      </c>
      <c r="K48" s="90" t="s">
        <v>212</v>
      </c>
      <c r="L48" s="91" t="s">
        <v>213</v>
      </c>
      <c r="M48" s="90" t="s">
        <v>214</v>
      </c>
      <c r="N48" s="91" t="s">
        <v>215</v>
      </c>
      <c r="O48" s="90" t="s">
        <v>216</v>
      </c>
      <c r="P48" s="91" t="s">
        <v>217</v>
      </c>
    </row>
    <row r="49" spans="1:8" s="27" customFormat="1" x14ac:dyDescent="0.35">
      <c r="A49" s="121" t="s">
        <v>1</v>
      </c>
      <c r="B49" s="27">
        <f t="shared" ref="B49" si="3">C49+E49+G49+I49+K49</f>
        <v>0</v>
      </c>
      <c r="C49" s="123"/>
      <c r="E49" s="123"/>
      <c r="G49" s="92"/>
      <c r="H49" s="122"/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CF13-15EB-4912-B08F-9EA07410BA1C}">
  <sheetPr>
    <tabColor theme="5" tint="0.59999389629810485"/>
  </sheetPr>
  <dimension ref="A1:K22"/>
  <sheetViews>
    <sheetView zoomScale="120" zoomScaleNormal="120" workbookViewId="0">
      <selection activeCell="E28" sqref="E28"/>
    </sheetView>
  </sheetViews>
  <sheetFormatPr defaultRowHeight="14.5" x14ac:dyDescent="0.35"/>
  <cols>
    <col min="1" max="1" width="37.1796875" bestFit="1" customWidth="1"/>
    <col min="2" max="2" width="12.1796875" style="27" customWidth="1"/>
    <col min="3" max="3" width="9.1796875" bestFit="1" customWidth="1"/>
    <col min="4" max="4" width="10.453125" customWidth="1"/>
    <col min="5" max="5" width="18.1796875" customWidth="1"/>
    <col min="6" max="6" width="10.1796875" bestFit="1" customWidth="1"/>
    <col min="7" max="7" width="17.1796875" customWidth="1"/>
    <col min="8" max="8" width="19.1796875" customWidth="1"/>
    <col min="11" max="11" width="14.453125" customWidth="1"/>
  </cols>
  <sheetData>
    <row r="1" spans="1:11" x14ac:dyDescent="0.35">
      <c r="K1" s="27"/>
    </row>
    <row r="2" spans="1:11" ht="18.5" x14ac:dyDescent="0.45">
      <c r="A2" s="225" t="s">
        <v>378</v>
      </c>
      <c r="B2" s="225"/>
      <c r="C2" s="225"/>
      <c r="D2" s="225"/>
      <c r="E2" s="105"/>
      <c r="H2" s="105"/>
      <c r="K2" s="27"/>
    </row>
    <row r="3" spans="1:11" x14ac:dyDescent="0.35">
      <c r="B3" t="s">
        <v>379</v>
      </c>
      <c r="C3" t="s">
        <v>380</v>
      </c>
      <c r="D3" t="s">
        <v>381</v>
      </c>
    </row>
    <row r="4" spans="1:11" x14ac:dyDescent="0.35">
      <c r="B4"/>
      <c r="C4" s="27"/>
    </row>
    <row r="5" spans="1:11" x14ac:dyDescent="0.35">
      <c r="A5" t="s">
        <v>257</v>
      </c>
      <c r="B5"/>
      <c r="C5" s="27">
        <v>2054.87</v>
      </c>
      <c r="D5" s="83">
        <f>C5*12+3915</f>
        <v>28573.439999999999</v>
      </c>
    </row>
    <row r="6" spans="1:11" x14ac:dyDescent="0.35">
      <c r="B6"/>
      <c r="C6" s="27"/>
      <c r="E6" s="103"/>
      <c r="F6" s="103"/>
      <c r="G6" s="103"/>
      <c r="H6" s="103"/>
    </row>
    <row r="7" spans="1:11" x14ac:dyDescent="0.35">
      <c r="A7" s="226" t="s">
        <v>502</v>
      </c>
      <c r="B7"/>
      <c r="C7" s="103">
        <v>1618.23</v>
      </c>
      <c r="D7" s="83">
        <f>C7*12</f>
        <v>19418.760000000002</v>
      </c>
      <c r="E7" s="229" t="s">
        <v>385</v>
      </c>
      <c r="F7" s="47"/>
      <c r="G7" s="47"/>
      <c r="H7" s="47"/>
    </row>
    <row r="8" spans="1:11" x14ac:dyDescent="0.35">
      <c r="B8"/>
      <c r="C8" s="27"/>
    </row>
    <row r="9" spans="1:11" x14ac:dyDescent="0.35">
      <c r="A9" t="s">
        <v>258</v>
      </c>
      <c r="B9"/>
      <c r="C9" s="27"/>
      <c r="D9" s="83">
        <f>B9*C9</f>
        <v>0</v>
      </c>
    </row>
    <row r="10" spans="1:11" x14ac:dyDescent="0.35">
      <c r="B10"/>
      <c r="C10" s="27"/>
    </row>
    <row r="11" spans="1:11" x14ac:dyDescent="0.35">
      <c r="A11" t="s">
        <v>259</v>
      </c>
      <c r="B11"/>
      <c r="C11" s="27"/>
    </row>
    <row r="12" spans="1:11" x14ac:dyDescent="0.35">
      <c r="B12"/>
      <c r="C12" s="27"/>
    </row>
    <row r="13" spans="1:11" x14ac:dyDescent="0.35">
      <c r="A13" t="s">
        <v>260</v>
      </c>
      <c r="B13"/>
      <c r="C13" s="27"/>
      <c r="D13" s="83">
        <f>B13*C13</f>
        <v>0</v>
      </c>
      <c r="K13" s="117"/>
    </row>
    <row r="14" spans="1:11" x14ac:dyDescent="0.35">
      <c r="B14"/>
      <c r="C14" s="27"/>
      <c r="H14" s="116"/>
      <c r="J14" s="117"/>
      <c r="K14" s="118"/>
    </row>
    <row r="15" spans="1:11" x14ac:dyDescent="0.35">
      <c r="A15" t="s">
        <v>261</v>
      </c>
      <c r="B15"/>
      <c r="C15" s="27"/>
    </row>
    <row r="16" spans="1:11" x14ac:dyDescent="0.35">
      <c r="B16"/>
      <c r="C16" s="27"/>
    </row>
    <row r="17" spans="1:4" x14ac:dyDescent="0.35">
      <c r="A17" t="s">
        <v>262</v>
      </c>
      <c r="B17"/>
      <c r="C17" s="27"/>
    </row>
    <row r="18" spans="1:4" x14ac:dyDescent="0.35">
      <c r="B18"/>
      <c r="C18" s="27"/>
    </row>
    <row r="19" spans="1:4" x14ac:dyDescent="0.35">
      <c r="A19" s="93" t="s">
        <v>263</v>
      </c>
      <c r="B19" s="93"/>
      <c r="C19" s="94">
        <f>C5</f>
        <v>2054.87</v>
      </c>
      <c r="D19" s="94">
        <f>D5</f>
        <v>28573.439999999999</v>
      </c>
    </row>
    <row r="20" spans="1:4" x14ac:dyDescent="0.35">
      <c r="A20" t="s">
        <v>264</v>
      </c>
      <c r="B20"/>
      <c r="C20" s="27">
        <f>C7+C9+C11+C13+C15+C17</f>
        <v>1618.23</v>
      </c>
      <c r="D20" s="27">
        <f>D7+D9+D11+D13+D15+D17</f>
        <v>19418.760000000002</v>
      </c>
    </row>
    <row r="21" spans="1:4" ht="15" thickBot="1" x14ac:dyDescent="0.4">
      <c r="A21" s="49" t="s">
        <v>265</v>
      </c>
      <c r="B21" s="49"/>
      <c r="C21" s="95">
        <f>C19+C20</f>
        <v>3673.1</v>
      </c>
      <c r="D21" s="95">
        <f>D19+D20</f>
        <v>47992.2</v>
      </c>
    </row>
    <row r="22" spans="1:4" ht="15" thickTop="1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99d9c9-ddf3-45de-8142-1a34a5ee04a4">
      <Terms xmlns="http://schemas.microsoft.com/office/infopath/2007/PartnerControls"/>
    </lcf76f155ced4ddcb4097134ff3c332f>
    <TaxCatchAll xmlns="4793e178-8aaf-457d-8d40-bba7b916e22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E13405AD44194BB9049E6EA1A3414B" ma:contentTypeVersion="15" ma:contentTypeDescription="Create a new document." ma:contentTypeScope="" ma:versionID="4cf1dc7c687c3a626c3beec330e55a08">
  <xsd:schema xmlns:xsd="http://www.w3.org/2001/XMLSchema" xmlns:xs="http://www.w3.org/2001/XMLSchema" xmlns:p="http://schemas.microsoft.com/office/2006/metadata/properties" xmlns:ns2="4793e178-8aaf-457d-8d40-bba7b916e22c" xmlns:ns3="af99d9c9-ddf3-45de-8142-1a34a5ee04a4" targetNamespace="http://schemas.microsoft.com/office/2006/metadata/properties" ma:root="true" ma:fieldsID="8b790103abd434c21ecdee62d27112b9" ns2:_="" ns3:_="">
    <xsd:import namespace="4793e178-8aaf-457d-8d40-bba7b916e22c"/>
    <xsd:import namespace="af99d9c9-ddf3-45de-8142-1a34a5ee04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3e178-8aaf-457d-8d40-bba7b916e2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eeb1d6b-f24f-4b33-ab1f-768a1cdcb0d2}" ma:internalName="TaxCatchAll" ma:showField="CatchAllData" ma:web="4793e178-8aaf-457d-8d40-bba7b916e2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9d9c9-ddf3-45de-8142-1a34a5ee0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6bb6fa0-00ad-402d-a430-868573ab0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1DC842-57D5-43E0-8A38-E586451C573A}">
  <ds:schemaRefs>
    <ds:schemaRef ds:uri="http://schemas.microsoft.com/office/2006/metadata/properties"/>
    <ds:schemaRef ds:uri="http://schemas.microsoft.com/office/infopath/2007/PartnerControls"/>
    <ds:schemaRef ds:uri="af99d9c9-ddf3-45de-8142-1a34a5ee04a4"/>
    <ds:schemaRef ds:uri="4793e178-8aaf-457d-8d40-bba7b916e22c"/>
  </ds:schemaRefs>
</ds:datastoreItem>
</file>

<file path=customXml/itemProps2.xml><?xml version="1.0" encoding="utf-8"?>
<ds:datastoreItem xmlns:ds="http://schemas.openxmlformats.org/officeDocument/2006/customXml" ds:itemID="{9BB48717-95A2-4997-8A5B-78918779F0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4506A3-EFE1-4F99-94E5-198FA5EC7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3e178-8aaf-457d-8d40-bba7b916e22c"/>
    <ds:schemaRef ds:uri="af99d9c9-ddf3-45de-8142-1a34a5ee0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Enrollment</vt:lpstr>
      <vt:lpstr>Overall Budget</vt:lpstr>
      <vt:lpstr>Assumptions</vt:lpstr>
      <vt:lpstr>Expense Support</vt:lpstr>
      <vt:lpstr>Contracted Services</vt:lpstr>
      <vt:lpstr>Staffing</vt:lpstr>
      <vt:lpstr>LCIR</vt:lpstr>
      <vt:lpstr>Operations</vt:lpstr>
      <vt:lpstr>Technology</vt:lpstr>
      <vt:lpstr>Title IV</vt:lpstr>
      <vt:lpstr>Tables</vt:lpstr>
      <vt:lpstr>Academics</vt:lpstr>
      <vt:lpstr>Marketing</vt:lpstr>
      <vt:lpstr>Finance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Marques</dc:creator>
  <cp:keywords/>
  <dc:description/>
  <cp:lastModifiedBy>Savneet Sethi</cp:lastModifiedBy>
  <cp:revision/>
  <dcterms:created xsi:type="dcterms:W3CDTF">2025-02-26T15:06:33Z</dcterms:created>
  <dcterms:modified xsi:type="dcterms:W3CDTF">2026-06-02T19:34:12Z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0x01010043E13405AD44194BB9049E6EA1A3414B</vt:lpwstr>
  </property>
  <property fmtid="{D5CDD505-2E9C-101B-9397-08002B2CF9AE}" pid="3" name="MediaServiceImageTags">
    <vt:lpwstr/>
  </property>
</Properties>
</file>