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ridgeprep.sharepoint.com/sites/SMARTFinanceTeam/Shared Documents/General/26-27 Budget/13 - Sunned/"/>
    </mc:Choice>
  </mc:AlternateContent>
  <xr:revisionPtr revIDLastSave="645" documentId="8_{1E8C551C-4516-4F53-BA2D-B65D0FB909EA}" xr6:coauthVersionLast="47" xr6:coauthVersionMax="47" xr10:uidLastSave="{34CA3AA7-8438-48F8-9946-859480BB352C}"/>
  <bookViews>
    <workbookView xWindow="-108" yWindow="-108" windowWidth="23256" windowHeight="13896" activeTab="1" xr2:uid="{FEF36D54-91D1-456B-B72B-3F79526DC037}"/>
  </bookViews>
  <sheets>
    <sheet name="Enrollment" sheetId="5" r:id="rId1"/>
    <sheet name="Overall Budget" sheetId="1" r:id="rId2"/>
    <sheet name="Assumptions" sheetId="20" r:id="rId3"/>
    <sheet name="Expense Support" sheetId="19" r:id="rId4"/>
    <sheet name="LCI" sheetId="18" r:id="rId5"/>
    <sheet name="Staffing" sheetId="16" r:id="rId6"/>
    <sheet name="Tables" sheetId="15" r:id="rId7"/>
    <sheet name="Operations" sheetId="3" r:id="rId8"/>
    <sheet name="Title IV" sheetId="17" r:id="rId9"/>
    <sheet name="Academics" sheetId="9" r:id="rId10"/>
    <sheet name="Technology" sheetId="10" r:id="rId11"/>
    <sheet name="Marketing" sheetId="6" r:id="rId12"/>
    <sheet name="Finance" sheetId="7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" i="1" l="1"/>
  <c r="J83" i="1"/>
  <c r="J78" i="1"/>
  <c r="J74" i="1"/>
  <c r="J72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G87" i="1"/>
  <c r="G83" i="1"/>
  <c r="F87" i="1"/>
  <c r="G78" i="1"/>
  <c r="G74" i="1"/>
  <c r="G72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J44" i="1"/>
  <c r="J42" i="1"/>
  <c r="J41" i="1"/>
  <c r="J39" i="1"/>
  <c r="I70" i="1"/>
  <c r="I72" i="1" s="1"/>
  <c r="I30" i="1"/>
  <c r="I32" i="1" s="1"/>
  <c r="I39" i="1"/>
  <c r="I17" i="1"/>
  <c r="I6" i="1"/>
  <c r="I74" i="1" l="1"/>
  <c r="I78" i="1" s="1"/>
  <c r="I83" i="1" s="1"/>
  <c r="I87" i="1" s="1"/>
  <c r="I88" i="1" s="1"/>
  <c r="B34" i="1"/>
  <c r="R6" i="16"/>
  <c r="I79" i="1" l="1"/>
  <c r="B54" i="1"/>
  <c r="D29" i="3"/>
  <c r="I27" i="3"/>
  <c r="J27" i="3"/>
  <c r="I28" i="3"/>
  <c r="J28" i="3"/>
  <c r="C34" i="19"/>
  <c r="F86" i="1" l="1"/>
  <c r="B84" i="1"/>
  <c r="B85" i="1" s="1"/>
  <c r="F85" i="1" s="1"/>
  <c r="F84" i="1" l="1"/>
  <c r="B44" i="1"/>
  <c r="U39" i="16" l="1"/>
  <c r="S7" i="16" l="1"/>
  <c r="S6" i="16"/>
  <c r="C36" i="1"/>
  <c r="V39" i="16"/>
  <c r="I39" i="16"/>
  <c r="B47" i="1" l="1"/>
  <c r="D4" i="10"/>
  <c r="B46" i="1"/>
  <c r="C21" i="19"/>
  <c r="C63" i="19"/>
  <c r="D31" i="3"/>
  <c r="B52" i="1" s="1"/>
  <c r="D24" i="3"/>
  <c r="D9" i="3" l="1"/>
  <c r="C20" i="19"/>
  <c r="D70" i="1"/>
  <c r="D6" i="1"/>
  <c r="D17" i="1"/>
  <c r="D30" i="1"/>
  <c r="D39" i="1"/>
  <c r="B45" i="1"/>
  <c r="C10" i="19"/>
  <c r="C9" i="19"/>
  <c r="C11" i="19" s="1"/>
  <c r="C61" i="19"/>
  <c r="C66" i="19" s="1"/>
  <c r="B66" i="1" s="1"/>
  <c r="C48" i="19"/>
  <c r="C47" i="19"/>
  <c r="C41" i="19"/>
  <c r="C40" i="19"/>
  <c r="C39" i="19"/>
  <c r="C35" i="19"/>
  <c r="B58" i="1" s="1"/>
  <c r="C19" i="19"/>
  <c r="C18" i="19"/>
  <c r="C17" i="19"/>
  <c r="C16" i="19"/>
  <c r="C22" i="19" s="1"/>
  <c r="C8" i="19"/>
  <c r="C7" i="19"/>
  <c r="C6" i="19"/>
  <c r="C5" i="19"/>
  <c r="C4" i="19"/>
  <c r="D72" i="1" l="1"/>
  <c r="D32" i="1"/>
  <c r="C49" i="19"/>
  <c r="C50" i="19" s="1"/>
  <c r="C51" i="19" s="1"/>
  <c r="B61" i="1" s="1"/>
  <c r="C23" i="19"/>
  <c r="C24" i="19" s="1"/>
  <c r="C42" i="19"/>
  <c r="C43" i="19" s="1"/>
  <c r="C44" i="19" s="1"/>
  <c r="C12" i="19"/>
  <c r="C57" i="19"/>
  <c r="B65" i="1" s="1"/>
  <c r="D74" i="1" l="1"/>
  <c r="D78" i="1" s="1"/>
  <c r="D83" i="1" s="1"/>
  <c r="D87" i="1" s="1"/>
  <c r="B48" i="1"/>
  <c r="R17" i="16"/>
  <c r="J17" i="16"/>
  <c r="Y17" i="16" l="1"/>
  <c r="Z17" i="16"/>
  <c r="X17" i="16"/>
  <c r="AA17" i="16" l="1"/>
  <c r="AG17" i="16" s="1"/>
  <c r="AE7" i="16" l="1"/>
  <c r="AD7" i="16"/>
  <c r="R7" i="16"/>
  <c r="J7" i="16"/>
  <c r="T6" i="16"/>
  <c r="Z7" i="16" l="1"/>
  <c r="X7" i="16"/>
  <c r="Y7" i="16"/>
  <c r="Z6" i="16"/>
  <c r="Y6" i="16"/>
  <c r="J6" i="16"/>
  <c r="AA7" i="16" l="1"/>
  <c r="AG7" i="16" s="1"/>
  <c r="X6" i="16"/>
  <c r="AA6" i="16" s="1"/>
  <c r="AG6" i="16" s="1"/>
  <c r="C19" i="10" l="1"/>
  <c r="D18" i="10"/>
  <c r="C18" i="10"/>
  <c r="D6" i="10"/>
  <c r="D19" i="10" s="1"/>
  <c r="C20" i="10" l="1"/>
  <c r="D20" i="10"/>
  <c r="L48" i="1" l="1"/>
  <c r="T31" i="16"/>
  <c r="T32" i="16"/>
  <c r="B56" i="1" l="1"/>
  <c r="C2" i="5" l="1"/>
  <c r="R3" i="16" l="1"/>
  <c r="Z36" i="16"/>
  <c r="T3" i="16" l="1"/>
  <c r="X3" i="16" s="1"/>
  <c r="Y3" i="16"/>
  <c r="Z3" i="16"/>
  <c r="AA3" i="16" l="1"/>
  <c r="AG3" i="16" s="1"/>
  <c r="B53" i="1"/>
  <c r="F28" i="1" l="1"/>
  <c r="F5" i="1"/>
  <c r="R13" i="16"/>
  <c r="T13" i="16" s="1"/>
  <c r="R14" i="16"/>
  <c r="T14" i="16" s="1"/>
  <c r="R15" i="16"/>
  <c r="T15" i="16" s="1"/>
  <c r="R16" i="16"/>
  <c r="T16" i="16" s="1"/>
  <c r="J13" i="16"/>
  <c r="J14" i="16"/>
  <c r="J15" i="16"/>
  <c r="J16" i="16"/>
  <c r="Z15" i="16" l="1"/>
  <c r="Y15" i="16"/>
  <c r="X15" i="16"/>
  <c r="AA15" i="16" s="1"/>
  <c r="AG15" i="16" s="1"/>
  <c r="Z14" i="16"/>
  <c r="Y14" i="16"/>
  <c r="X14" i="16"/>
  <c r="Z16" i="16"/>
  <c r="Y16" i="16"/>
  <c r="X16" i="16"/>
  <c r="Z13" i="16"/>
  <c r="Y13" i="16"/>
  <c r="X13" i="16"/>
  <c r="J35" i="16"/>
  <c r="J34" i="16"/>
  <c r="J12" i="16"/>
  <c r="J5" i="16"/>
  <c r="J4" i="16"/>
  <c r="AA14" i="16" l="1"/>
  <c r="AG14" i="16" s="1"/>
  <c r="AA13" i="16"/>
  <c r="AG13" i="16" s="1"/>
  <c r="AA16" i="16"/>
  <c r="AG16" i="16" s="1"/>
  <c r="X5" i="16"/>
  <c r="Z5" i="16"/>
  <c r="Y5" i="16"/>
  <c r="AA5" i="16" l="1"/>
  <c r="AG5" i="16" s="1"/>
  <c r="D20" i="3"/>
  <c r="S34" i="16" l="1"/>
  <c r="S35" i="16"/>
  <c r="S31" i="16"/>
  <c r="S32" i="16"/>
  <c r="B45" i="3" l="1"/>
  <c r="AG9" i="16" l="1"/>
  <c r="AG18" i="16"/>
  <c r="AG30" i="16"/>
  <c r="AG33" i="16"/>
  <c r="AI89" i="16"/>
  <c r="AI88" i="16"/>
  <c r="AI87" i="16"/>
  <c r="AI86" i="16"/>
  <c r="AI85" i="16"/>
  <c r="AI84" i="16"/>
  <c r="AI83" i="16"/>
  <c r="AI82" i="16"/>
  <c r="AI81" i="16"/>
  <c r="AI80" i="16"/>
  <c r="AE35" i="16"/>
  <c r="AD35" i="16"/>
  <c r="R35" i="16"/>
  <c r="Z35" i="16" s="1"/>
  <c r="AE34" i="16"/>
  <c r="AD34" i="16"/>
  <c r="R34" i="16"/>
  <c r="A33" i="16"/>
  <c r="AE32" i="16"/>
  <c r="AD32" i="16"/>
  <c r="R32" i="16"/>
  <c r="AE31" i="16"/>
  <c r="AD31" i="16"/>
  <c r="R31" i="16"/>
  <c r="AE27" i="16"/>
  <c r="R27" i="16"/>
  <c r="T27" i="16" s="1"/>
  <c r="J27" i="16"/>
  <c r="AE26" i="16"/>
  <c r="AD26" i="16"/>
  <c r="R26" i="16"/>
  <c r="J26" i="16"/>
  <c r="AE25" i="16"/>
  <c r="R25" i="16"/>
  <c r="J25" i="16"/>
  <c r="R24" i="16"/>
  <c r="T24" i="16" s="1"/>
  <c r="J24" i="16"/>
  <c r="R23" i="16"/>
  <c r="J23" i="16"/>
  <c r="AE22" i="16"/>
  <c r="AD22" i="16"/>
  <c r="R22" i="16"/>
  <c r="J22" i="16"/>
  <c r="AD21" i="16"/>
  <c r="R21" i="16"/>
  <c r="J21" i="16"/>
  <c r="AI20" i="16"/>
  <c r="R20" i="16"/>
  <c r="J20" i="16"/>
  <c r="AI19" i="16"/>
  <c r="AE19" i="16"/>
  <c r="AD19" i="16"/>
  <c r="R19" i="16"/>
  <c r="J19" i="16"/>
  <c r="A18" i="16"/>
  <c r="R12" i="16"/>
  <c r="AI11" i="16"/>
  <c r="R11" i="16"/>
  <c r="T11" i="16" s="1"/>
  <c r="J11" i="16"/>
  <c r="R10" i="16"/>
  <c r="J10" i="16"/>
  <c r="A9" i="16"/>
  <c r="AE4" i="16"/>
  <c r="AD4" i="16"/>
  <c r="R4" i="16"/>
  <c r="A2" i="16"/>
  <c r="Z4" i="16" l="1"/>
  <c r="T10" i="16"/>
  <c r="Z10" i="16"/>
  <c r="T22" i="16"/>
  <c r="Z22" i="16"/>
  <c r="X34" i="16"/>
  <c r="Z34" i="16"/>
  <c r="T23" i="16"/>
  <c r="Z23" i="16"/>
  <c r="Z19" i="16"/>
  <c r="Y26" i="16"/>
  <c r="T26" i="16"/>
  <c r="Z26" i="16"/>
  <c r="Y11" i="16"/>
  <c r="X11" i="16"/>
  <c r="Z11" i="16"/>
  <c r="Z24" i="16"/>
  <c r="T12" i="16"/>
  <c r="Y12" i="16"/>
  <c r="X12" i="16"/>
  <c r="Z12" i="16"/>
  <c r="Y25" i="16"/>
  <c r="Z25" i="16"/>
  <c r="T20" i="16"/>
  <c r="Z20" i="16"/>
  <c r="T21" i="16"/>
  <c r="Z21" i="16"/>
  <c r="Z27" i="16"/>
  <c r="AI2" i="16"/>
  <c r="AE23" i="16"/>
  <c r="AD20" i="16"/>
  <c r="AE24" i="16"/>
  <c r="AD11" i="16"/>
  <c r="AE12" i="16"/>
  <c r="AE10" i="16"/>
  <c r="Y22" i="16"/>
  <c r="Y21" i="16"/>
  <c r="Y24" i="16"/>
  <c r="S24" i="16"/>
  <c r="X24" i="16" s="1"/>
  <c r="Y27" i="16"/>
  <c r="S27" i="16"/>
  <c r="AD23" i="16"/>
  <c r="AD10" i="16"/>
  <c r="S19" i="16"/>
  <c r="S39" i="16" s="1"/>
  <c r="C37" i="1" s="1"/>
  <c r="C34" i="1" s="1"/>
  <c r="S22" i="16"/>
  <c r="X10" i="16"/>
  <c r="S21" i="16"/>
  <c r="S25" i="16"/>
  <c r="S20" i="16"/>
  <c r="X20" i="16" s="1"/>
  <c r="Y4" i="16"/>
  <c r="Y23" i="16"/>
  <c r="S23" i="16"/>
  <c r="X23" i="16" s="1"/>
  <c r="S26" i="16"/>
  <c r="Y32" i="16"/>
  <c r="AI22" i="16"/>
  <c r="AD25" i="16"/>
  <c r="Y35" i="16"/>
  <c r="AI1" i="16"/>
  <c r="AD12" i="16"/>
  <c r="Y20" i="16"/>
  <c r="AE21" i="16"/>
  <c r="AD24" i="16"/>
  <c r="AI10" i="16"/>
  <c r="Y31" i="16"/>
  <c r="AE20" i="16"/>
  <c r="Y34" i="16"/>
  <c r="Y39" i="16" s="1"/>
  <c r="X4" i="16"/>
  <c r="Y10" i="16"/>
  <c r="AE11" i="16"/>
  <c r="AD27" i="16"/>
  <c r="X32" i="16"/>
  <c r="X31" i="16"/>
  <c r="Y19" i="16"/>
  <c r="B37" i="1" l="1"/>
  <c r="AD39" i="16"/>
  <c r="AE39" i="16"/>
  <c r="T39" i="16"/>
  <c r="Z39" i="16"/>
  <c r="AA12" i="16"/>
  <c r="AG12" i="16" s="1"/>
  <c r="X26" i="16"/>
  <c r="AA26" i="16" s="1"/>
  <c r="AG26" i="16" s="1"/>
  <c r="AA4" i="16"/>
  <c r="X21" i="16"/>
  <c r="AA21" i="16" s="1"/>
  <c r="AG21" i="16" s="1"/>
  <c r="X22" i="16"/>
  <c r="AA22" i="16" s="1"/>
  <c r="AG22" i="16" s="1"/>
  <c r="X19" i="16"/>
  <c r="X27" i="16"/>
  <c r="AA27" i="16" s="1"/>
  <c r="AG27" i="16" s="1"/>
  <c r="AI72" i="16"/>
  <c r="AA11" i="16"/>
  <c r="AG11" i="16" s="1"/>
  <c r="AA23" i="16"/>
  <c r="AG23" i="16" s="1"/>
  <c r="AI25" i="16"/>
  <c r="X25" i="16"/>
  <c r="AA25" i="16" s="1"/>
  <c r="AG25" i="16" s="1"/>
  <c r="X35" i="16"/>
  <c r="AA35" i="16" s="1"/>
  <c r="AG35" i="16" s="1"/>
  <c r="AA20" i="16"/>
  <c r="AG20" i="16" s="1"/>
  <c r="AA19" i="16"/>
  <c r="AG19" i="16" s="1"/>
  <c r="AI26" i="16"/>
  <c r="AA24" i="16"/>
  <c r="AG24" i="16" s="1"/>
  <c r="AA31" i="16"/>
  <c r="AG31" i="16" s="1"/>
  <c r="AO30" i="16" s="1"/>
  <c r="AI67" i="16"/>
  <c r="AA32" i="16"/>
  <c r="AG32" i="16" s="1"/>
  <c r="AA10" i="16"/>
  <c r="AG10" i="16" s="1"/>
  <c r="AI4" i="16"/>
  <c r="AI9" i="16"/>
  <c r="AA34" i="16"/>
  <c r="AI41" i="16" l="1"/>
  <c r="X39" i="16"/>
  <c r="AG34" i="16"/>
  <c r="AA39" i="16"/>
  <c r="AG39" i="16" s="1"/>
  <c r="AI24" i="16"/>
  <c r="B38" i="1" s="1"/>
  <c r="AI68" i="16"/>
  <c r="AI69" i="16" s="1"/>
  <c r="AI71" i="16"/>
  <c r="AG4" i="16"/>
  <c r="AG38" i="16" l="1"/>
  <c r="AG36" i="16"/>
  <c r="AJ75" i="16" s="1"/>
  <c r="AI73" i="16"/>
  <c r="AI66" i="16"/>
  <c r="AI70" i="16" s="1"/>
  <c r="AI65" i="16"/>
  <c r="AI27" i="16"/>
  <c r="AI31" i="16" s="1"/>
  <c r="B11" i="15"/>
  <c r="B16" i="15" s="1"/>
  <c r="B21" i="15" s="1"/>
  <c r="B26" i="15" s="1"/>
  <c r="B31" i="15" s="1"/>
  <c r="B36" i="15" s="1"/>
  <c r="B41" i="15" s="1"/>
  <c r="B46" i="15" s="1"/>
  <c r="B51" i="15" s="1"/>
  <c r="B56" i="15" s="1"/>
  <c r="B61" i="15" s="1"/>
  <c r="B66" i="15" s="1"/>
  <c r="B71" i="15" s="1"/>
  <c r="B76" i="15" s="1"/>
  <c r="B81" i="15" s="1"/>
  <c r="B86" i="15" s="1"/>
  <c r="B91" i="15" s="1"/>
  <c r="B96" i="15" s="1"/>
  <c r="B10" i="15"/>
  <c r="B15" i="15" s="1"/>
  <c r="B20" i="15" s="1"/>
  <c r="B25" i="15" s="1"/>
  <c r="B30" i="15" s="1"/>
  <c r="B35" i="15" s="1"/>
  <c r="B40" i="15" s="1"/>
  <c r="B45" i="15" s="1"/>
  <c r="B50" i="15" s="1"/>
  <c r="B55" i="15" s="1"/>
  <c r="B60" i="15" s="1"/>
  <c r="B65" i="15" s="1"/>
  <c r="B70" i="15" s="1"/>
  <c r="B75" i="15" s="1"/>
  <c r="B80" i="15" s="1"/>
  <c r="B85" i="15" s="1"/>
  <c r="B90" i="15" s="1"/>
  <c r="B95" i="15" s="1"/>
  <c r="B9" i="15"/>
  <c r="B14" i="15" s="1"/>
  <c r="B19" i="15" s="1"/>
  <c r="B24" i="15" s="1"/>
  <c r="B29" i="15" s="1"/>
  <c r="B34" i="15" s="1"/>
  <c r="B39" i="15" s="1"/>
  <c r="B44" i="15" s="1"/>
  <c r="B49" i="15" s="1"/>
  <c r="B54" i="15" s="1"/>
  <c r="B59" i="15" s="1"/>
  <c r="B64" i="15" s="1"/>
  <c r="B69" i="15" s="1"/>
  <c r="B74" i="15" s="1"/>
  <c r="B79" i="15" s="1"/>
  <c r="B84" i="15" s="1"/>
  <c r="B89" i="15" s="1"/>
  <c r="B94" i="15" s="1"/>
  <c r="B8" i="15"/>
  <c r="B13" i="15" s="1"/>
  <c r="B18" i="15" s="1"/>
  <c r="B23" i="15" s="1"/>
  <c r="B28" i="15" s="1"/>
  <c r="B33" i="15" s="1"/>
  <c r="B38" i="15" s="1"/>
  <c r="B43" i="15" s="1"/>
  <c r="B48" i="15" s="1"/>
  <c r="B53" i="15" s="1"/>
  <c r="B58" i="15" s="1"/>
  <c r="B63" i="15" s="1"/>
  <c r="B68" i="15" s="1"/>
  <c r="B73" i="15" s="1"/>
  <c r="B78" i="15" s="1"/>
  <c r="B83" i="15" s="1"/>
  <c r="B88" i="15" s="1"/>
  <c r="B93" i="15" s="1"/>
  <c r="B7" i="15"/>
  <c r="B12" i="15" s="1"/>
  <c r="B17" i="15" s="1"/>
  <c r="B22" i="15" s="1"/>
  <c r="B27" i="15" s="1"/>
  <c r="B32" i="15" s="1"/>
  <c r="B37" i="15" s="1"/>
  <c r="B42" i="15" s="1"/>
  <c r="B47" i="15" s="1"/>
  <c r="B52" i="15" s="1"/>
  <c r="B57" i="15" s="1"/>
  <c r="B62" i="15" s="1"/>
  <c r="B67" i="15" s="1"/>
  <c r="B72" i="15" s="1"/>
  <c r="B77" i="15" s="1"/>
  <c r="B82" i="15" s="1"/>
  <c r="B87" i="15" s="1"/>
  <c r="B92" i="15" s="1"/>
  <c r="AI74" i="16" l="1"/>
  <c r="AI75" i="16"/>
  <c r="AJ76" i="16" l="1"/>
  <c r="E70" i="1" l="1"/>
  <c r="E39" i="1"/>
  <c r="E30" i="1"/>
  <c r="E17" i="1"/>
  <c r="E72" i="1" l="1"/>
  <c r="E32" i="1"/>
  <c r="E74" i="1" l="1"/>
  <c r="E78" i="1" s="1"/>
  <c r="E83" i="1" s="1"/>
  <c r="E87" i="1" s="1"/>
  <c r="B50" i="3"/>
  <c r="B23" i="6" l="1"/>
  <c r="D88" i="7"/>
  <c r="D79" i="7"/>
  <c r="D71" i="7"/>
  <c r="D63" i="7"/>
  <c r="D62" i="7"/>
  <c r="D57" i="7"/>
  <c r="D56" i="7"/>
  <c r="D55" i="7"/>
  <c r="D54" i="7"/>
  <c r="G44" i="7"/>
  <c r="C41" i="7"/>
  <c r="D30" i="7"/>
  <c r="D31" i="7" s="1"/>
  <c r="C30" i="7"/>
  <c r="C31" i="7" s="1"/>
  <c r="D20" i="7"/>
  <c r="C20" i="7"/>
  <c r="D15" i="7"/>
  <c r="C15" i="7"/>
  <c r="A3" i="7"/>
  <c r="Q18" i="9" l="1"/>
  <c r="L18" i="9"/>
  <c r="O18" i="9" s="1"/>
  <c r="G18" i="9"/>
  <c r="J18" i="9" s="1"/>
  <c r="M11" i="9"/>
  <c r="K11" i="9"/>
  <c r="J6" i="9"/>
  <c r="I6" i="9"/>
  <c r="H6" i="9"/>
  <c r="D45" i="3"/>
  <c r="E45" i="3" s="1"/>
  <c r="D30" i="3"/>
  <c r="G29" i="3"/>
  <c r="D23" i="3"/>
  <c r="D19" i="3"/>
  <c r="D18" i="3"/>
  <c r="D17" i="3"/>
  <c r="D16" i="3"/>
  <c r="D25" i="3" s="1"/>
  <c r="D8" i="3"/>
  <c r="D7" i="3"/>
  <c r="D6" i="3"/>
  <c r="D5" i="3"/>
  <c r="D4" i="3"/>
  <c r="D3" i="3"/>
  <c r="D26" i="3" l="1"/>
  <c r="D10" i="3"/>
  <c r="B49" i="1"/>
  <c r="L11" i="9"/>
  <c r="S18" i="9"/>
  <c r="R18" i="9"/>
  <c r="D27" i="3" l="1"/>
  <c r="B50" i="1" s="1"/>
  <c r="D11" i="3"/>
  <c r="D12" i="3" s="1"/>
  <c r="C5" i="5"/>
  <c r="B2" i="1" l="1"/>
  <c r="D76" i="7"/>
  <c r="D89" i="7" s="1"/>
  <c r="C89" i="7"/>
  <c r="B3" i="1" l="1"/>
  <c r="H33" i="1"/>
  <c r="H71" i="1"/>
  <c r="H18" i="1"/>
  <c r="H63" i="1"/>
  <c r="H40" i="1"/>
  <c r="H57" i="1"/>
  <c r="H31" i="1"/>
  <c r="H7" i="1"/>
  <c r="H80" i="1"/>
  <c r="H27" i="1"/>
  <c r="H73" i="1"/>
  <c r="H75" i="1"/>
  <c r="H86" i="1"/>
  <c r="H85" i="1"/>
  <c r="H84" i="1"/>
  <c r="H28" i="1"/>
  <c r="H5" i="1"/>
  <c r="G2" i="18"/>
  <c r="B4" i="1"/>
  <c r="B41" i="1"/>
  <c r="F2" i="1"/>
  <c r="F82" i="1"/>
  <c r="H82" i="1" s="1"/>
  <c r="I2" i="18" l="1"/>
  <c r="L2" i="18"/>
  <c r="F77" i="1"/>
  <c r="H77" i="1" s="1"/>
  <c r="B81" i="1"/>
  <c r="F81" i="1" s="1"/>
  <c r="H81" i="1" s="1"/>
  <c r="B76" i="1"/>
  <c r="F76" i="1" s="1"/>
  <c r="H76" i="1" s="1"/>
  <c r="F69" i="1" l="1"/>
  <c r="F67" i="1"/>
  <c r="F66" i="1"/>
  <c r="F65" i="1"/>
  <c r="F64" i="1"/>
  <c r="F61" i="1"/>
  <c r="F60" i="1"/>
  <c r="F59" i="1"/>
  <c r="F58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36" i="1"/>
  <c r="H36" i="1" s="1"/>
  <c r="F29" i="1"/>
  <c r="H29" i="1" s="1"/>
  <c r="F26" i="1"/>
  <c r="H26" i="1" s="1"/>
  <c r="F25" i="1"/>
  <c r="H25" i="1" s="1"/>
  <c r="F24" i="1"/>
  <c r="H24" i="1" s="1"/>
  <c r="F22" i="1"/>
  <c r="H22" i="1" s="1"/>
  <c r="F21" i="1"/>
  <c r="H21" i="1" s="1"/>
  <c r="F19" i="1"/>
  <c r="H19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C30" i="1"/>
  <c r="C6" i="1"/>
  <c r="C70" i="1"/>
  <c r="H54" i="1" l="1"/>
  <c r="H60" i="1"/>
  <c r="H53" i="1"/>
  <c r="H64" i="1"/>
  <c r="H44" i="1"/>
  <c r="H48" i="1"/>
  <c r="H50" i="1"/>
  <c r="H52" i="1"/>
  <c r="H65" i="1"/>
  <c r="H45" i="1"/>
  <c r="H55" i="1"/>
  <c r="H59" i="1"/>
  <c r="H66" i="1"/>
  <c r="H46" i="1"/>
  <c r="H49" i="1"/>
  <c r="H58" i="1"/>
  <c r="H47" i="1"/>
  <c r="H51" i="1"/>
  <c r="H56" i="1"/>
  <c r="H61" i="1"/>
  <c r="H67" i="1"/>
  <c r="H69" i="1"/>
  <c r="C39" i="1"/>
  <c r="C72" i="1" s="1"/>
  <c r="F37" i="1" l="1"/>
  <c r="H37" i="1" s="1"/>
  <c r="F23" i="1"/>
  <c r="H23" i="1" s="1"/>
  <c r="F62" i="1"/>
  <c r="F68" i="1"/>
  <c r="F8" i="1"/>
  <c r="H8" i="1" s="1"/>
  <c r="C17" i="1"/>
  <c r="C32" i="1" s="1"/>
  <c r="M72" i="1" s="1"/>
  <c r="B17" i="1"/>
  <c r="H62" i="1" l="1"/>
  <c r="H68" i="1"/>
  <c r="C74" i="1"/>
  <c r="C78" i="1" s="1"/>
  <c r="C83" i="1" s="1"/>
  <c r="C87" i="1" s="1"/>
  <c r="B6" i="1"/>
  <c r="F42" i="1"/>
  <c r="F43" i="1"/>
  <c r="H43" i="1" s="1"/>
  <c r="F16" i="1"/>
  <c r="H16" i="1" s="1"/>
  <c r="H17" i="1" s="1"/>
  <c r="H42" i="1" l="1"/>
  <c r="C79" i="1"/>
  <c r="K2" i="18"/>
  <c r="F4" i="1"/>
  <c r="H4" i="1" s="1"/>
  <c r="F3" i="1"/>
  <c r="C88" i="1"/>
  <c r="F17" i="1"/>
  <c r="H3" i="1" l="1"/>
  <c r="H6" i="1" s="1"/>
  <c r="G42" i="1"/>
  <c r="M2" i="18"/>
  <c r="F6" i="1"/>
  <c r="B70" i="1"/>
  <c r="F41" i="1"/>
  <c r="H41" i="1" l="1"/>
  <c r="H70" i="1" s="1"/>
  <c r="G41" i="1"/>
  <c r="N2" i="18"/>
  <c r="O2" i="18" s="1"/>
  <c r="B20" i="1" s="1"/>
  <c r="F70" i="1"/>
  <c r="B30" i="1" l="1"/>
  <c r="B32" i="1" s="1"/>
  <c r="F20" i="1"/>
  <c r="AI32" i="16"/>
  <c r="AI33" i="16" s="1"/>
  <c r="F38" i="1"/>
  <c r="H38" i="1" s="1"/>
  <c r="F30" i="1" l="1"/>
  <c r="F32" i="1" s="1"/>
  <c r="H20" i="1"/>
  <c r="H30" i="1" s="1"/>
  <c r="H32" i="1" s="1"/>
  <c r="F34" i="1"/>
  <c r="AI42" i="16" l="1"/>
  <c r="H34" i="1"/>
  <c r="F35" i="1"/>
  <c r="H35" i="1" s="1"/>
  <c r="B39" i="1"/>
  <c r="H39" i="1" l="1"/>
  <c r="H72" i="1" s="1"/>
  <c r="H74" i="1" s="1"/>
  <c r="H78" i="1" s="1"/>
  <c r="H83" i="1" s="1"/>
  <c r="H87" i="1" s="1"/>
  <c r="B72" i="1"/>
  <c r="F39" i="1"/>
  <c r="AG41" i="16" l="1"/>
  <c r="AG42" i="16" s="1"/>
  <c r="G39" i="1"/>
  <c r="B74" i="1"/>
  <c r="AJ77" i="16"/>
  <c r="F72" i="1"/>
  <c r="B78" i="1" l="1"/>
  <c r="F74" i="1"/>
  <c r="B79" i="1" l="1"/>
  <c r="B83" i="1"/>
  <c r="B87" i="1" s="1"/>
  <c r="F78" i="1"/>
  <c r="F83" i="1" l="1"/>
  <c r="F79" i="1"/>
  <c r="H79" i="1" s="1"/>
  <c r="B88" i="1" l="1"/>
  <c r="F8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tc={E20D4002-6157-4FE1-880F-0D31506C8AF8}</author>
    <author>Renata Marques</author>
  </authors>
  <commentList>
    <comment ref="AA35" authorId="0" shapeId="0" xr:uid="{E20D4002-6157-4FE1-880F-0D31506C8AF8}">
      <text>
        <t>[Threaded comment]
Your version of Excel allows you to read this threaded comment; however, any edits to it will get removed if the file is opened in a newer version of Excel. Learn more: https://go.microsoft.com/fwlink/?linkid=870924
Comment:
    Only 28,545 to be considered referendum</t>
      </text>
    </comment>
    <comment ref="Z36" authorId="1" shapeId="0" xr:uid="{7DBCF131-E9F2-4CFC-9743-1694A53CA64F}">
      <text>
        <r>
          <rPr>
            <b/>
            <sz val="9"/>
            <color indexed="81"/>
            <rFont val="Tahoma"/>
            <family val="2"/>
          </rPr>
          <t>Renata Marques:</t>
        </r>
        <r>
          <rPr>
            <sz val="9"/>
            <color indexed="81"/>
            <rFont val="Tahoma"/>
            <family val="2"/>
          </rPr>
          <t xml:space="preserve">
As per Payroll report Oasis shared by Tammy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Sorenson</author>
  </authors>
  <commentList>
    <comment ref="B21" authorId="0" shapeId="0" xr:uid="{F578BF61-9106-487D-809D-6D596CECB2F6}">
      <text>
        <r>
          <rPr>
            <b/>
            <sz val="9"/>
            <color indexed="81"/>
            <rFont val="Tahoma"/>
            <family val="2"/>
          </rPr>
          <t>Ana Sorenson:</t>
        </r>
        <r>
          <rPr>
            <sz val="9"/>
            <color indexed="81"/>
            <rFont val="Tahoma"/>
            <family val="2"/>
          </rPr>
          <t xml:space="preserve">
No Strip/wax, </t>
        </r>
      </text>
    </comment>
  </commentList>
</comments>
</file>

<file path=xl/sharedStrings.xml><?xml version="1.0" encoding="utf-8"?>
<sst xmlns="http://schemas.openxmlformats.org/spreadsheetml/2006/main" count="914" uniqueCount="475">
  <si>
    <t>Total</t>
  </si>
  <si>
    <t>Miami Gardens</t>
  </si>
  <si>
    <t>School</t>
  </si>
  <si>
    <t>Operating</t>
  </si>
  <si>
    <t>CSP</t>
  </si>
  <si>
    <t>Title IV</t>
  </si>
  <si>
    <t>Referendum</t>
  </si>
  <si>
    <t>NSLP</t>
  </si>
  <si>
    <t>FTE</t>
  </si>
  <si>
    <t>Total State Revenue</t>
  </si>
  <si>
    <t>Total FEFP Revenue</t>
  </si>
  <si>
    <t>Capital Outlay</t>
  </si>
  <si>
    <t>FL School Recognition Funds</t>
  </si>
  <si>
    <t>NA</t>
  </si>
  <si>
    <t>Total Federal Revenue</t>
  </si>
  <si>
    <t>Title I - Fund 211, Improving Basic Education</t>
  </si>
  <si>
    <t>Unisig</t>
  </si>
  <si>
    <t>Hardening Grant (Safety and Security)</t>
  </si>
  <si>
    <t>SORT Grant</t>
  </si>
  <si>
    <t>ARP Summer Learning</t>
  </si>
  <si>
    <t>ESSER</t>
  </si>
  <si>
    <t>National School Lunch Program Reimbursement</t>
  </si>
  <si>
    <t>Total Local Revenue</t>
  </si>
  <si>
    <t>Local Capital Improvement</t>
  </si>
  <si>
    <t>Marketing Fee</t>
  </si>
  <si>
    <t>Facilities Rental</t>
  </si>
  <si>
    <t>Student Lunch Collection</t>
  </si>
  <si>
    <t>After School Program Funds</t>
  </si>
  <si>
    <t>Other School and Class Fees</t>
  </si>
  <si>
    <t>District Capital Surtax Revenue</t>
  </si>
  <si>
    <t>TOTAL REVENUE</t>
  </si>
  <si>
    <t>Staff Compensation</t>
  </si>
  <si>
    <t>Network Distribution</t>
  </si>
  <si>
    <t xml:space="preserve"> Stipends,Bonuses and other Additional Supplements</t>
  </si>
  <si>
    <t>Payroll Taxes and Benefits</t>
  </si>
  <si>
    <t>TOTAL STAFF COMPENSATION EXPENSE</t>
  </si>
  <si>
    <t>Total Operating Expenses</t>
  </si>
  <si>
    <t>District Fee (3%)</t>
  </si>
  <si>
    <t>Instructional Materials</t>
  </si>
  <si>
    <t>Instructional Licenses</t>
  </si>
  <si>
    <t>Instructional Materials - PD</t>
  </si>
  <si>
    <t>Special Populations Licensing/Contracted Services</t>
  </si>
  <si>
    <t>Technology: Equipment Purchases</t>
  </si>
  <si>
    <t>Utilities: Electricity, Water, Garbage, Telephone, Fire Alarm</t>
  </si>
  <si>
    <t>Recurrent Maintenance</t>
  </si>
  <si>
    <t>Building Repairs</t>
  </si>
  <si>
    <t>Copiers</t>
  </si>
  <si>
    <t>Furniture</t>
  </si>
  <si>
    <t>School Resource Officer</t>
  </si>
  <si>
    <t>Insurance</t>
  </si>
  <si>
    <t>Rent</t>
  </si>
  <si>
    <t>NSLP Expense</t>
  </si>
  <si>
    <t>Marketing</t>
  </si>
  <si>
    <t>Travel</t>
  </si>
  <si>
    <t>Office and Staff Supplies/Materials</t>
  </si>
  <si>
    <t>Principal Discretionary</t>
  </si>
  <si>
    <t>Fundraising Expenses</t>
  </si>
  <si>
    <t>Audit Fees</t>
  </si>
  <si>
    <t>Consulting Services</t>
  </si>
  <si>
    <t>Dues and Fees</t>
  </si>
  <si>
    <t>Legal Services</t>
  </si>
  <si>
    <t>Leases</t>
  </si>
  <si>
    <t>Total Expenses</t>
  </si>
  <si>
    <t>EBTIDA</t>
  </si>
  <si>
    <t>Net Income</t>
  </si>
  <si>
    <t>Interest</t>
  </si>
  <si>
    <t>Depreciation</t>
  </si>
  <si>
    <t>Net Income Margin</t>
  </si>
  <si>
    <t>Net Cash Flow</t>
  </si>
  <si>
    <t>Principal Payments</t>
  </si>
  <si>
    <t>Capital Projects</t>
  </si>
  <si>
    <t>Other Income - Loan Proceeds</t>
  </si>
  <si>
    <t>Net Cash Flow after Other Income/Other Expenses</t>
  </si>
  <si>
    <t>County</t>
  </si>
  <si>
    <t>23-24 LCI per fte</t>
  </si>
  <si>
    <t>24-25 LCI per fte</t>
  </si>
  <si>
    <t xml:space="preserve">25-26 (Average LCI for past 2 years) </t>
  </si>
  <si>
    <t>Budget Enrollment</t>
  </si>
  <si>
    <t>LCI Calculation</t>
  </si>
  <si>
    <t>State Capital Outlay</t>
  </si>
  <si>
    <t>Maximum Charter School LCI Allocation</t>
  </si>
  <si>
    <t>LCI for FY 25-26</t>
  </si>
  <si>
    <t>Admin Team</t>
  </si>
  <si>
    <t>Employee ID</t>
  </si>
  <si>
    <t>Employee Name</t>
  </si>
  <si>
    <t>Position</t>
  </si>
  <si>
    <t>Salary</t>
  </si>
  <si>
    <t>Bi-Monthly</t>
  </si>
  <si>
    <t>Pay Type</t>
  </si>
  <si>
    <t>Start Date</t>
  </si>
  <si>
    <t>Supplements</t>
  </si>
  <si>
    <t>Notes</t>
  </si>
  <si>
    <t>Funding Source</t>
  </si>
  <si>
    <t>Total Annual Salary</t>
  </si>
  <si>
    <t>Highly Effective/Effective Increase</t>
  </si>
  <si>
    <t>FICA</t>
  </si>
  <si>
    <t>Other Payroll Taxes</t>
  </si>
  <si>
    <t>Benefits</t>
  </si>
  <si>
    <t>Principal</t>
  </si>
  <si>
    <t>Teachers</t>
  </si>
  <si>
    <t>Auxiliary Staff</t>
  </si>
  <si>
    <t>Tutoring</t>
  </si>
  <si>
    <t>Regular Stipends</t>
  </si>
  <si>
    <t>Summer PD</t>
  </si>
  <si>
    <t>Summer School</t>
  </si>
  <si>
    <t>PTO Payout</t>
  </si>
  <si>
    <t>Employee Type</t>
  </si>
  <si>
    <t>Part Time</t>
  </si>
  <si>
    <t>Shared</t>
  </si>
  <si>
    <t>Teacher Type</t>
  </si>
  <si>
    <t>COLA / Merit Increase</t>
  </si>
  <si>
    <t>Other</t>
  </si>
  <si>
    <t>Total Adjusted</t>
  </si>
  <si>
    <t>b</t>
  </si>
  <si>
    <t>c</t>
  </si>
  <si>
    <t>FICA (Ref)</t>
  </si>
  <si>
    <t>Other Payroll Taxes (Ref)</t>
  </si>
  <si>
    <t>Total Salary</t>
  </si>
  <si>
    <t>Budget P&amp;L allocation</t>
  </si>
  <si>
    <t>Budget Dimension</t>
  </si>
  <si>
    <t>Total Salary (Operating)</t>
  </si>
  <si>
    <t>No</t>
  </si>
  <si>
    <t>Stipends,Bonuses and other Additional Supplements</t>
  </si>
  <si>
    <t>Student Support</t>
  </si>
  <si>
    <t>Total Other Comp Costs</t>
  </si>
  <si>
    <t>Total Compensation without Referendum</t>
  </si>
  <si>
    <t>Total Budget (Operating Revenue)</t>
  </si>
  <si>
    <t>% of Budget (Operating Revenue)</t>
  </si>
  <si>
    <t>Operations Staff</t>
  </si>
  <si>
    <t>Modifications:</t>
  </si>
  <si>
    <t>Total Salary (Ref)</t>
  </si>
  <si>
    <t>Highly Effective/Effective Increase (Ref)</t>
  </si>
  <si>
    <t>COLA / Merit Increase (Ref)</t>
  </si>
  <si>
    <t>Referendum (Ref)</t>
  </si>
  <si>
    <t>Supplements (Ref)</t>
  </si>
  <si>
    <t>Benefits (Ref)</t>
  </si>
  <si>
    <t>Total Adjusted (Ref)</t>
  </si>
  <si>
    <t>Referendum FICA/Taxes (Ref)</t>
  </si>
  <si>
    <t>Summary</t>
  </si>
  <si>
    <t>Total Overall</t>
  </si>
  <si>
    <t>Total Operating</t>
  </si>
  <si>
    <t>Referendum (Operating Column U)</t>
  </si>
  <si>
    <t>Referendum FICA/Taxes (Operating)</t>
  </si>
  <si>
    <t>Total Referendum (Operating)</t>
  </si>
  <si>
    <t>Total Operating without Referendum</t>
  </si>
  <si>
    <t>Total Referendum (Source)</t>
  </si>
  <si>
    <t>All Referendum Money</t>
  </si>
  <si>
    <t>Other Source</t>
  </si>
  <si>
    <t>All Columns plus other comp</t>
  </si>
  <si>
    <t>Summaries</t>
  </si>
  <si>
    <t>Overal tab</t>
  </si>
  <si>
    <t>Title I Summary</t>
  </si>
  <si>
    <t>Academics Extras</t>
  </si>
  <si>
    <t>Additional</t>
  </si>
  <si>
    <t>Total Revenue per Student</t>
  </si>
  <si>
    <t>% Benefits</t>
  </si>
  <si>
    <t>Shared %</t>
  </si>
  <si>
    <t>South</t>
  </si>
  <si>
    <t>Collier</t>
  </si>
  <si>
    <t>Interamerican</t>
  </si>
  <si>
    <t>Greater Miami</t>
  </si>
  <si>
    <t>Palm Beach</t>
  </si>
  <si>
    <t>Advanced Studies</t>
  </si>
  <si>
    <t>North Miami</t>
  </si>
  <si>
    <t>Doral KG5th</t>
  </si>
  <si>
    <t>Village Green Elem</t>
  </si>
  <si>
    <t>Orange</t>
  </si>
  <si>
    <t>Broward</t>
  </si>
  <si>
    <t>Hollywood Hills</t>
  </si>
  <si>
    <t>Duval</t>
  </si>
  <si>
    <t>Tampa</t>
  </si>
  <si>
    <t>Polk</t>
  </si>
  <si>
    <t>Riverview</t>
  </si>
  <si>
    <t>Osceola</t>
  </si>
  <si>
    <t>St. Cloud</t>
  </si>
  <si>
    <t>Doral 6th12th</t>
  </si>
  <si>
    <t>Village Green MSHS</t>
  </si>
  <si>
    <t>Supplies</t>
  </si>
  <si>
    <t xml:space="preserve">Operations Expense </t>
  </si>
  <si>
    <t>Vendor</t>
  </si>
  <si>
    <t>Monthly Amount</t>
  </si>
  <si>
    <t>Total 25-26</t>
  </si>
  <si>
    <t>Utilities: Electricity, Water, Garbage, Telephone, Alarm</t>
  </si>
  <si>
    <t>Electricity</t>
  </si>
  <si>
    <t>Water &amp; Sewer</t>
  </si>
  <si>
    <t>Waste Management</t>
  </si>
  <si>
    <t>Alarms</t>
  </si>
  <si>
    <t>Phone - Operating</t>
  </si>
  <si>
    <t>Internet - Operating</t>
  </si>
  <si>
    <t>Utilities Total</t>
  </si>
  <si>
    <t>Maintenance: AC Maintenance, Lawn, Pest Control</t>
  </si>
  <si>
    <t>A/C Maintenance Agreement</t>
  </si>
  <si>
    <t>Lawn Services</t>
  </si>
  <si>
    <t>Pest Control</t>
  </si>
  <si>
    <t>Repair supplies</t>
  </si>
  <si>
    <t>Custodial Services</t>
  </si>
  <si>
    <t>Custodial Supplies</t>
  </si>
  <si>
    <t>Othe Maintenance (BOY)</t>
  </si>
  <si>
    <t>Othe Maintenance Repairs</t>
  </si>
  <si>
    <t>Elevator maintenance</t>
  </si>
  <si>
    <t>Security</t>
  </si>
  <si>
    <t>Safe School</t>
  </si>
  <si>
    <t>Partially Referendum</t>
  </si>
  <si>
    <t xml:space="preserve">Rent </t>
  </si>
  <si>
    <t xml:space="preserve"> Furniture </t>
  </si>
  <si>
    <t>Projects Description</t>
  </si>
  <si>
    <t>Useful life</t>
  </si>
  <si>
    <t>Depreciation 1st Year</t>
  </si>
  <si>
    <t>Depreciation after 1st year</t>
  </si>
  <si>
    <t>Total Estimate</t>
  </si>
  <si>
    <t xml:space="preserve">Priority 1 Estimate </t>
  </si>
  <si>
    <t>Priority 1</t>
  </si>
  <si>
    <t xml:space="preserve">Priority 2 Estimate </t>
  </si>
  <si>
    <t>Priority 2</t>
  </si>
  <si>
    <t xml:space="preserve">Priority 3 Estimate </t>
  </si>
  <si>
    <t>Priority 3</t>
  </si>
  <si>
    <t xml:space="preserve">Priority 4 Estimate </t>
  </si>
  <si>
    <t>Priority 4</t>
  </si>
  <si>
    <t xml:space="preserve">Priority 5 Estimate </t>
  </si>
  <si>
    <t>Priority 5</t>
  </si>
  <si>
    <t xml:space="preserve">Priority 6 Estimate </t>
  </si>
  <si>
    <t>Priority 6</t>
  </si>
  <si>
    <t xml:space="preserve">Priority 7 Estimate </t>
  </si>
  <si>
    <t>Priority 7</t>
  </si>
  <si>
    <t xml:space="preserve">Tutoring </t>
  </si>
  <si>
    <t>School Name</t>
  </si>
  <si>
    <t>Region</t>
  </si>
  <si>
    <t>Grade Levels</t>
  </si>
  <si>
    <t>Test Count</t>
  </si>
  <si>
    <t>Tutoring Hours Per Test</t>
  </si>
  <si>
    <t>Tutoring Pay $/Hour</t>
  </si>
  <si>
    <t>Total Cost</t>
  </si>
  <si>
    <t>Total Tutoring Stipend</t>
  </si>
  <si>
    <t>South Florida</t>
  </si>
  <si>
    <t>Farah Barrat</t>
  </si>
  <si>
    <t>K-6</t>
  </si>
  <si>
    <t>? Already at recurrent maintenance?</t>
  </si>
  <si>
    <t>SRO</t>
  </si>
  <si>
    <t>Coordinator</t>
  </si>
  <si>
    <t>Teacher Count</t>
  </si>
  <si>
    <t># of SS Days</t>
  </si>
  <si>
    <t>SS Pay $/Hour</t>
  </si>
  <si>
    <t># of Hours/Day</t>
  </si>
  <si>
    <t>Total Summer Stipend</t>
  </si>
  <si>
    <t>Total Teacher Content Count</t>
  </si>
  <si>
    <t>% of Teachers Attending New Teacher PD</t>
  </si>
  <si>
    <t>Teachers Attending New Teacher PD</t>
  </si>
  <si>
    <t># of Days of New Teacher PD</t>
  </si>
  <si>
    <t>Rate per Day ($100)</t>
  </si>
  <si>
    <t>Cost of Stipends for New Teacher PD</t>
  </si>
  <si>
    <t>% of Teachers Attending Returning Teacher PD</t>
  </si>
  <si>
    <t>Teachers Attending Returning Teacher PD</t>
  </si>
  <si>
    <t># of Days of Returning Teacher PD</t>
  </si>
  <si>
    <t>Cost of Stipends for Returning Teacher PD</t>
  </si>
  <si>
    <t>Travel Costs</t>
  </si>
  <si>
    <t>Shirt, Food, &amp; Supplies</t>
  </si>
  <si>
    <t>Total Teacher Associated Costs for BOY PD</t>
  </si>
  <si>
    <t>Total Stipends</t>
  </si>
  <si>
    <t>Summer PD Contractors</t>
  </si>
  <si>
    <t>Instructional material</t>
  </si>
  <si>
    <t>25-26</t>
  </si>
  <si>
    <t>Prepaid expenses</t>
  </si>
  <si>
    <t>New IM Purchases</t>
  </si>
  <si>
    <t>New IM Licenses Purchases</t>
  </si>
  <si>
    <t>TL Monthly Agreement</t>
  </si>
  <si>
    <t>Network infrastructure (e-rate)</t>
  </si>
  <si>
    <t>Replacements /Upgrade Students Devices</t>
  </si>
  <si>
    <t>Replacements /Upgrade Staff Devices</t>
  </si>
  <si>
    <t>New Devices Students</t>
  </si>
  <si>
    <t>New Devices Staff</t>
  </si>
  <si>
    <t>Projectors</t>
  </si>
  <si>
    <t>Total Techlabs Support</t>
  </si>
  <si>
    <t>Total Equipments</t>
  </si>
  <si>
    <t xml:space="preserve">Total </t>
  </si>
  <si>
    <t>Enrollment and Lottery Software</t>
  </si>
  <si>
    <t>Website</t>
  </si>
  <si>
    <t>Branding (recruitment Supplies)</t>
  </si>
  <si>
    <t xml:space="preserve">Rebranding </t>
  </si>
  <si>
    <t>Onboarding Events</t>
  </si>
  <si>
    <t>Media campaigns</t>
  </si>
  <si>
    <t>Mariposa</t>
  </si>
  <si>
    <t>Prepaid Mkt expenses</t>
  </si>
  <si>
    <t>Admin fee factor</t>
  </si>
  <si>
    <t>Monthly Revenue</t>
  </si>
  <si>
    <t>24-25 Projection</t>
  </si>
  <si>
    <t>Title II</t>
  </si>
  <si>
    <t>ESSER 3</t>
  </si>
  <si>
    <t>Technology E-rate Reimbursement</t>
  </si>
  <si>
    <t>National School Lunch Program eimbursement</t>
  </si>
  <si>
    <t>Total Federal Revenues</t>
  </si>
  <si>
    <t>Total Per Pupil Revenue</t>
  </si>
  <si>
    <t>Total State Revenues</t>
  </si>
  <si>
    <t>Total Local Revenues</t>
  </si>
  <si>
    <t>Total Revenues</t>
  </si>
  <si>
    <t>BP Mngmt</t>
  </si>
  <si>
    <t xml:space="preserve">Expense </t>
  </si>
  <si>
    <t>Monthly Cost</t>
  </si>
  <si>
    <t>Staff Distribution</t>
  </si>
  <si>
    <t xml:space="preserve"> Dues and Fees</t>
  </si>
  <si>
    <t>Cognia</t>
  </si>
  <si>
    <t>Docusign</t>
  </si>
  <si>
    <t>Bank Fees</t>
  </si>
  <si>
    <t>Food Service Solutions</t>
  </si>
  <si>
    <t>Permits</t>
  </si>
  <si>
    <t>Rentals</t>
  </si>
  <si>
    <t>Quickbooks</t>
  </si>
  <si>
    <t>Indeed</t>
  </si>
  <si>
    <t xml:space="preserve">New TeqLease - Furniture </t>
  </si>
  <si>
    <t>Instructional Material</t>
  </si>
  <si>
    <t>TeqLease - Bookpal</t>
  </si>
  <si>
    <t>TeqLease - Furniture</t>
  </si>
  <si>
    <t>Key Government</t>
  </si>
  <si>
    <t>TeqLease - Charging Carts</t>
  </si>
  <si>
    <t>TeqLease - Dell Equip</t>
  </si>
  <si>
    <t>TeqLease - Apple Equip</t>
  </si>
  <si>
    <t>TeqLease - Hertz Furniture</t>
  </si>
  <si>
    <t>Great America Financing</t>
  </si>
  <si>
    <t>TD Synnex Financing</t>
  </si>
  <si>
    <t>Vantage Financial (Hertz Furniture)</t>
  </si>
  <si>
    <t>Vantage Financial (Cafeteria Table)</t>
  </si>
  <si>
    <t>P&amp;I</t>
  </si>
  <si>
    <t>Loan - Principal</t>
  </si>
  <si>
    <t>Loan - Interest</t>
  </si>
  <si>
    <t>E-rate expense (Consulting)</t>
  </si>
  <si>
    <t>Discretionary Expenses</t>
  </si>
  <si>
    <t>Miscellaneous</t>
  </si>
  <si>
    <t>Office Supplies</t>
  </si>
  <si>
    <t>Aftercare</t>
  </si>
  <si>
    <t>Aftercare Supplies</t>
  </si>
  <si>
    <t>Travels</t>
  </si>
  <si>
    <t>Other Income - 25-26 Line of Credit Utilization</t>
  </si>
  <si>
    <t>FL State Misc. Grants</t>
  </si>
  <si>
    <t>Other Local Revenue - Interest Income</t>
  </si>
  <si>
    <t>Other Local Revenue - E rate Revenue</t>
  </si>
  <si>
    <t>Referendum Settlement Revenue</t>
  </si>
  <si>
    <t>English Teacher</t>
  </si>
  <si>
    <t>Mathematics Teacher</t>
  </si>
  <si>
    <t>Social Science Teacher</t>
  </si>
  <si>
    <t>Reading Teacher/Literacy</t>
  </si>
  <si>
    <t>Reading Teacher</t>
  </si>
  <si>
    <t>Student Success and Life Coaching Specialist</t>
  </si>
  <si>
    <t>Sublease Net Revenue</t>
  </si>
  <si>
    <t>CAM Revenue</t>
  </si>
  <si>
    <t xml:space="preserve"> Basic 9-12 with ESE Services</t>
  </si>
  <si>
    <t>Basic 9-12</t>
  </si>
  <si>
    <t>Enrollment</t>
  </si>
  <si>
    <t>Technology Support</t>
  </si>
  <si>
    <t>Brian Bianco</t>
  </si>
  <si>
    <t>Maria Ruiz</t>
  </si>
  <si>
    <t>ESE Teacher push in/Dual Campus</t>
  </si>
  <si>
    <t>Arturo Nunez</t>
  </si>
  <si>
    <t>Business Teacher/Events Coordinator</t>
  </si>
  <si>
    <t>Nathaly Ramirez</t>
  </si>
  <si>
    <t>Clervin Clerizier</t>
  </si>
  <si>
    <t>Ed Tech/Teacher Assistant</t>
  </si>
  <si>
    <t>Kamilah Grayson</t>
  </si>
  <si>
    <t>Community Liaison/ Enrollment Specialist Assistant/Dual Campus</t>
  </si>
  <si>
    <t>English Teacher/Transition/CTE Coordinator</t>
  </si>
  <si>
    <t>Barbara Ascurra</t>
  </si>
  <si>
    <t>Jorge Diez</t>
  </si>
  <si>
    <t>Michael Thomsen</t>
  </si>
  <si>
    <t>Science Teacher Assistant/Testing Coordinator Assistant</t>
  </si>
  <si>
    <t>Charles Thomas</t>
  </si>
  <si>
    <t>Science Teacher</t>
  </si>
  <si>
    <t>Mark Basciano</t>
  </si>
  <si>
    <t>Yolanda Shaw</t>
  </si>
  <si>
    <t>Kinya Myrthil</t>
  </si>
  <si>
    <t>Other Local Revenue - Other Misc.</t>
  </si>
  <si>
    <t>Misc. Expenses</t>
  </si>
  <si>
    <t>Transportation Expense</t>
  </si>
  <si>
    <t>Executive Director</t>
  </si>
  <si>
    <t>Yes</t>
  </si>
  <si>
    <t xml:space="preserve">As per Feb FEFP worksheet </t>
  </si>
  <si>
    <t>Projected 26-27 LCI per FTE</t>
  </si>
  <si>
    <t>$30-35 each school</t>
  </si>
  <si>
    <t>Painting $8K each school $2K deep cleaning</t>
  </si>
  <si>
    <t>3% increase each year</t>
  </si>
  <si>
    <t>Ends in 25-26</t>
  </si>
  <si>
    <t>As per budget kick-off call with Tammy</t>
  </si>
  <si>
    <t xml:space="preserve">Title II plus (incl books, magazines) and Title IV (IXL), matrix funds for ESE part of Speech language bills, usually covers for 2 months bill - Tammy's plan </t>
  </si>
  <si>
    <t>Bonus</t>
  </si>
  <si>
    <t>Salary Increase</t>
  </si>
  <si>
    <t>Supplements (Reading endorssed, ESE, ESOL, etc..</t>
  </si>
  <si>
    <t>FY 27 Notes from Budget calls</t>
  </si>
  <si>
    <t>Comcast</t>
  </si>
  <si>
    <t>Coastal Waste &amp; Recycling</t>
  </si>
  <si>
    <t>FPL</t>
  </si>
  <si>
    <t>Indian River Networks</t>
  </si>
  <si>
    <t>CW South Florida Enterprises LLC</t>
  </si>
  <si>
    <t>Pro Pest Control</t>
  </si>
  <si>
    <t>Various Vendors</t>
  </si>
  <si>
    <t>*Based on Actuals</t>
  </si>
  <si>
    <t>Technology</t>
  </si>
  <si>
    <t>Quantity</t>
  </si>
  <si>
    <t>Monthly</t>
  </si>
  <si>
    <t>Annual</t>
  </si>
  <si>
    <t>Per Connor/Jordan as of 4/14, 2,054.87 per month plus $3,915 onboarding one-time fee</t>
  </si>
  <si>
    <t>Sunned - South Broward</t>
  </si>
  <si>
    <t>130 ESOL (Grade Level 9-12)</t>
  </si>
  <si>
    <t>Sunned South</t>
  </si>
  <si>
    <t>63 month payment option</t>
  </si>
  <si>
    <t>Provided by Epic / Judith on 4/14</t>
  </si>
  <si>
    <t>Jerris Evan</t>
  </si>
  <si>
    <t>Assistant Principal/Discipline/Facilities/Attendance/NCAA</t>
  </si>
  <si>
    <t>Administrative Assistant/Front Desk Receptionist</t>
  </si>
  <si>
    <t>Registrar/Data Specialist</t>
  </si>
  <si>
    <t>Timothy Williams (New Staff)</t>
  </si>
  <si>
    <t>TBD</t>
  </si>
  <si>
    <t>Paraprofessional</t>
  </si>
  <si>
    <t>CTE Specialist - Tri Campus</t>
  </si>
  <si>
    <t>Per auditor - includes 990</t>
  </si>
  <si>
    <t>From '25-'26 Actuals</t>
  </si>
  <si>
    <t>Instructional Licensing</t>
  </si>
  <si>
    <t>Exp BeAble</t>
  </si>
  <si>
    <t>Exp Supp Lrng</t>
  </si>
  <si>
    <t>Exp Read180</t>
  </si>
  <si>
    <t>Exp eDynamic</t>
  </si>
  <si>
    <t>Exp IXL</t>
  </si>
  <si>
    <t>3% YoY increase</t>
  </si>
  <si>
    <t>Special Populations</t>
  </si>
  <si>
    <t>Selah Capital Management Inc</t>
  </si>
  <si>
    <t>Partners in Speech</t>
  </si>
  <si>
    <t>X Bus Pass</t>
  </si>
  <si>
    <t>ADRS</t>
  </si>
  <si>
    <t>Office and staff supplies/materials</t>
  </si>
  <si>
    <t>Amazon</t>
  </si>
  <si>
    <t>Misc</t>
  </si>
  <si>
    <t>Exp Edementum</t>
  </si>
  <si>
    <t>Exp Explore Learning</t>
  </si>
  <si>
    <t>Q's for Tammy</t>
  </si>
  <si>
    <t>School Recognition</t>
  </si>
  <si>
    <t>Megan Cyr / Paramedic Services</t>
  </si>
  <si>
    <t>Education Services of America</t>
  </si>
  <si>
    <t>Connections Therapy 4 Kids</t>
  </si>
  <si>
    <t>Is this occupational therapist monthly or as needed?</t>
  </si>
  <si>
    <t>Fire safety alarm</t>
  </si>
  <si>
    <t>City of Fort Lauderdale</t>
  </si>
  <si>
    <t>AB Fire Equip Inc or Century Fire Protection</t>
  </si>
  <si>
    <t>Is Active Alarms the alarm provider for South??</t>
  </si>
  <si>
    <t>3% increase YoY</t>
  </si>
  <si>
    <t>Advanced Air Systems</t>
  </si>
  <si>
    <t>Diamond VA Svc. Corp</t>
  </si>
  <si>
    <t>Painting, and steam clean front office</t>
  </si>
  <si>
    <t>Akismet</t>
  </si>
  <si>
    <t>actuals are lower - confirm with Tammy</t>
  </si>
  <si>
    <t>Misc Vendors (DollarTree, Sams Club)</t>
  </si>
  <si>
    <t>National dropout prevention conference</t>
  </si>
  <si>
    <t>Per Connor/Jordan</t>
  </si>
  <si>
    <t>MH Martin Educational Services / Mental Health</t>
  </si>
  <si>
    <t>Konica Minolta Business Solutions USA INC</t>
  </si>
  <si>
    <t>Ian Buniao</t>
  </si>
  <si>
    <t>Aleska Rivas-Matos</t>
  </si>
  <si>
    <t>Brittany Peterson</t>
  </si>
  <si>
    <t>Both Referendum &amp; Operating</t>
  </si>
  <si>
    <t>Management Fee (18%) (SMART)</t>
  </si>
  <si>
    <t>Other expenses - Loan to Hollywood</t>
  </si>
  <si>
    <t>includes student transportation (558 per FTE: $157,914)</t>
  </si>
  <si>
    <t>Impact Learning Strategies</t>
  </si>
  <si>
    <t>consultant</t>
  </si>
  <si>
    <t>Removed per Tammy</t>
  </si>
  <si>
    <t>Refer to expense support tab</t>
  </si>
  <si>
    <t>Guardian</t>
  </si>
  <si>
    <t>Supplements is NCAA, $ amount can fluctuate</t>
  </si>
  <si>
    <t>Assistant Administrator/Guidance/Assessment - Position Change</t>
  </si>
  <si>
    <t>Details provided by Tammy</t>
  </si>
  <si>
    <t>placeholder</t>
  </si>
  <si>
    <t>per actuals</t>
  </si>
  <si>
    <t>Per Student $ per budget</t>
  </si>
  <si>
    <t>Actuals YTD as of April</t>
  </si>
  <si>
    <t>interest</t>
  </si>
  <si>
    <t xml:space="preserve">2. Legal services $15K placeholder </t>
  </si>
  <si>
    <t>3. Techlabs assumptions for technology - can be reduced if another vendor is selected</t>
  </si>
  <si>
    <t>4. Furniture placeholder $10k</t>
  </si>
  <si>
    <t>1. Marketing $50k placeholder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</si>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</sst>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[$$-409]* #,##0.00_);_([$$-409]* \(#,##0.00\);_([$$-409]* &quot;-&quot;??_);_(@_)"/>
    <numFmt numFmtId="166" formatCode="_(&quot;$&quot;* #,##0_);_(&quot;$&quot;* \(#,##0\);_(&quot;$&quot;* &quot;-&quot;??_);_(@_)"/>
    <numFmt numFmtId="167" formatCode="&quot;$&quot;#,##0.00"/>
    <numFmt numFmtId="168" formatCode="_([$$-409]* #,##0_);_([$$-409]* \(#,##0\);_([$$-409]* &quot;-&quot;??_);_(@_)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FFFFFF"/>
      <name val="Aptos Display"/>
      <family val="2"/>
      <scheme val="major"/>
    </font>
    <font>
      <b/>
      <sz val="11"/>
      <color rgb="FFFFFFFF"/>
      <name val="Aptos Display"/>
      <family val="2"/>
      <scheme val="major"/>
    </font>
    <font>
      <b/>
      <sz val="20"/>
      <color theme="0"/>
      <name val="Calibri"/>
      <family val="2"/>
    </font>
    <font>
      <b/>
      <sz val="16"/>
      <color theme="0"/>
      <name val="Aptos Narrow"/>
      <family val="2"/>
      <scheme val="minor"/>
    </font>
    <font>
      <sz val="12"/>
      <name val="Aptos Display"/>
      <family val="2"/>
      <scheme val="major"/>
    </font>
    <font>
      <sz val="12"/>
      <color indexed="8"/>
      <name val="Aptos Display"/>
      <family val="2"/>
      <scheme val="major"/>
    </font>
    <font>
      <b/>
      <u val="singleAccounting"/>
      <sz val="12"/>
      <name val="Aptos Display"/>
      <family val="2"/>
      <scheme val="major"/>
    </font>
    <font>
      <sz val="16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3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Display"/>
      <family val="2"/>
      <scheme val="major"/>
    </font>
    <font>
      <b/>
      <sz val="11"/>
      <color rgb="FF000000"/>
      <name val="Calibri"/>
      <family val="2"/>
    </font>
    <font>
      <sz val="11"/>
      <color rgb="FFFF0000"/>
      <name val="Aptos Narrow"/>
      <family val="2"/>
      <scheme val="minor"/>
    </font>
    <font>
      <sz val="11"/>
      <color rgb="FF262321"/>
      <name val="Aptos Narrow"/>
      <family val="2"/>
      <scheme val="minor"/>
    </font>
    <font>
      <sz val="10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0"/>
      <color rgb="FFFF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063762"/>
      </patternFill>
    </fill>
    <fill>
      <patternFill patternType="solid">
        <fgColor theme="4"/>
        <bgColor indexed="64"/>
      </patternFill>
    </fill>
    <fill>
      <patternFill patternType="solid">
        <fgColor rgb="FF172B4E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7" tint="0.39997558519241921"/>
      </left>
      <right/>
      <top style="medium">
        <color indexed="64"/>
      </top>
      <bottom/>
      <diagonal/>
    </border>
    <border>
      <left style="thin">
        <color theme="7" tint="0.39997558519241921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7" tint="0.39997558519241921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7" tint="0.3999755851924192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8"/>
  </cellStyleXfs>
  <cellXfs count="318">
    <xf numFmtId="0" fontId="0" fillId="0" borderId="0" xfId="0"/>
    <xf numFmtId="0" fontId="5" fillId="0" borderId="1" xfId="0" applyFont="1" applyBorder="1"/>
    <xf numFmtId="0" fontId="5" fillId="3" borderId="1" xfId="0" applyFont="1" applyFill="1" applyBorder="1"/>
    <xf numFmtId="164" fontId="6" fillId="0" borderId="2" xfId="1" applyNumberFormat="1" applyFont="1" applyBorder="1"/>
    <xf numFmtId="0" fontId="5" fillId="3" borderId="3" xfId="0" applyFont="1" applyFill="1" applyBorder="1"/>
    <xf numFmtId="164" fontId="4" fillId="3" borderId="2" xfId="1" applyNumberFormat="1" applyFont="1" applyFill="1" applyBorder="1"/>
    <xf numFmtId="0" fontId="5" fillId="0" borderId="3" xfId="0" applyFont="1" applyBorder="1"/>
    <xf numFmtId="164" fontId="4" fillId="0" borderId="2" xfId="1" applyNumberFormat="1" applyFont="1" applyBorder="1"/>
    <xf numFmtId="0" fontId="5" fillId="4" borderId="1" xfId="0" applyFont="1" applyFill="1" applyBorder="1"/>
    <xf numFmtId="0" fontId="4" fillId="2" borderId="4" xfId="0" applyFont="1" applyFill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6" borderId="8" xfId="3" applyFont="1" applyFill="1" applyBorder="1"/>
    <xf numFmtId="0" fontId="7" fillId="0" borderId="9" xfId="0" applyFont="1" applyBorder="1" applyAlignment="1">
      <alignment horizontal="left"/>
    </xf>
    <xf numFmtId="0" fontId="9" fillId="0" borderId="9" xfId="0" applyFont="1" applyBorder="1"/>
    <xf numFmtId="0" fontId="10" fillId="7" borderId="9" xfId="0" applyFont="1" applyFill="1" applyBorder="1"/>
    <xf numFmtId="0" fontId="7" fillId="0" borderId="9" xfId="0" applyFont="1" applyBorder="1"/>
    <xf numFmtId="0" fontId="8" fillId="6" borderId="10" xfId="3" applyFont="1" applyFill="1" applyBorder="1"/>
    <xf numFmtId="0" fontId="12" fillId="0" borderId="5" xfId="0" applyFont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3" fontId="12" fillId="8" borderId="5" xfId="0" applyNumberFormat="1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16" fillId="12" borderId="0" xfId="3" quotePrefix="1" applyFont="1" applyFill="1" applyAlignment="1">
      <alignment horizontal="center" vertical="center" wrapText="1"/>
    </xf>
    <xf numFmtId="164" fontId="17" fillId="0" borderId="0" xfId="4" applyNumberFormat="1" applyFont="1" applyFill="1" applyAlignment="1" applyProtection="1">
      <alignment horizontal="left"/>
    </xf>
    <xf numFmtId="43" fontId="0" fillId="0" borderId="5" xfId="1" applyFont="1" applyBorder="1"/>
    <xf numFmtId="43" fontId="0" fillId="0" borderId="0" xfId="1" applyFont="1"/>
    <xf numFmtId="164" fontId="18" fillId="0" borderId="0" xfId="4" applyNumberFormat="1" applyFont="1" applyFill="1" applyBorder="1" applyAlignment="1" applyProtection="1">
      <alignment horizontal="left"/>
    </xf>
    <xf numFmtId="164" fontId="19" fillId="0" borderId="0" xfId="4" applyNumberFormat="1" applyFont="1" applyFill="1" applyAlignment="1" applyProtection="1">
      <alignment horizontal="left"/>
    </xf>
    <xf numFmtId="43" fontId="3" fillId="0" borderId="5" xfId="1" applyFont="1" applyBorder="1"/>
    <xf numFmtId="164" fontId="18" fillId="0" borderId="0" xfId="4" applyNumberFormat="1" applyFont="1" applyFill="1" applyAlignment="1" applyProtection="1">
      <alignment horizontal="left"/>
    </xf>
    <xf numFmtId="43" fontId="0" fillId="0" borderId="5" xfId="0" applyNumberFormat="1" applyBorder="1"/>
    <xf numFmtId="0" fontId="0" fillId="0" borderId="5" xfId="0" applyBorder="1"/>
    <xf numFmtId="43" fontId="8" fillId="6" borderId="8" xfId="3" applyNumberFormat="1" applyFont="1" applyFill="1" applyBorder="1"/>
    <xf numFmtId="0" fontId="20" fillId="0" borderId="0" xfId="3" applyFont="1" applyAlignment="1">
      <alignment horizontal="center" vertical="center" wrapText="1"/>
    </xf>
    <xf numFmtId="0" fontId="8" fillId="6" borderId="8" xfId="3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43" fontId="21" fillId="0" borderId="5" xfId="1" applyFont="1" applyBorder="1"/>
    <xf numFmtId="43" fontId="21" fillId="0" borderId="5" xfId="0" applyNumberFormat="1" applyFont="1" applyBorder="1"/>
    <xf numFmtId="0" fontId="22" fillId="0" borderId="5" xfId="3" applyFont="1" applyBorder="1" applyAlignment="1">
      <alignment horizontal="center"/>
    </xf>
    <xf numFmtId="0" fontId="0" fillId="0" borderId="11" xfId="0" applyBorder="1"/>
    <xf numFmtId="8" fontId="21" fillId="0" borderId="5" xfId="0" applyNumberFormat="1" applyFont="1" applyBorder="1"/>
    <xf numFmtId="43" fontId="22" fillId="0" borderId="5" xfId="3" applyNumberFormat="1" applyFont="1" applyBorder="1" applyAlignment="1">
      <alignment horizontal="center"/>
    </xf>
    <xf numFmtId="0" fontId="9" fillId="0" borderId="12" xfId="0" applyFont="1" applyBorder="1"/>
    <xf numFmtId="0" fontId="9" fillId="0" borderId="0" xfId="0" applyFont="1"/>
    <xf numFmtId="0" fontId="10" fillId="0" borderId="9" xfId="0" applyFont="1" applyBorder="1"/>
    <xf numFmtId="0" fontId="8" fillId="6" borderId="13" xfId="3" applyFont="1" applyFill="1" applyBorder="1"/>
    <xf numFmtId="43" fontId="8" fillId="6" borderId="13" xfId="3" applyNumberFormat="1" applyFont="1" applyFill="1" applyBorder="1"/>
    <xf numFmtId="0" fontId="22" fillId="0" borderId="0" xfId="3" applyFont="1" applyAlignment="1">
      <alignment horizontal="center"/>
    </xf>
    <xf numFmtId="164" fontId="24" fillId="0" borderId="0" xfId="4" applyNumberFormat="1" applyFont="1" applyFill="1" applyBorder="1" applyAlignment="1" applyProtection="1">
      <alignment horizontal="left"/>
    </xf>
    <xf numFmtId="164" fontId="0" fillId="0" borderId="0" xfId="0" applyNumberFormat="1"/>
    <xf numFmtId="164" fontId="0" fillId="0" borderId="0" xfId="1" applyNumberFormat="1" applyFont="1"/>
    <xf numFmtId="164" fontId="3" fillId="0" borderId="14" xfId="1" applyNumberFormat="1" applyFont="1" applyBorder="1"/>
    <xf numFmtId="0" fontId="0" fillId="0" borderId="15" xfId="0" applyBorder="1"/>
    <xf numFmtId="0" fontId="11" fillId="13" borderId="5" xfId="0" applyFont="1" applyFill="1" applyBorder="1" applyAlignment="1">
      <alignment horizontal="center" vertical="center"/>
    </xf>
    <xf numFmtId="49" fontId="11" fillId="13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6" fontId="0" fillId="0" borderId="0" xfId="0" applyNumberFormat="1" applyAlignment="1">
      <alignment horizontal="center"/>
    </xf>
    <xf numFmtId="44" fontId="11" fillId="0" borderId="5" xfId="2" applyFont="1" applyFill="1" applyBorder="1" applyAlignment="1">
      <alignment horizontal="center" vertical="center"/>
    </xf>
    <xf numFmtId="44" fontId="0" fillId="0" borderId="5" xfId="2" applyFont="1" applyBorder="1" applyAlignment="1">
      <alignment horizontal="center"/>
    </xf>
    <xf numFmtId="0" fontId="11" fillId="13" borderId="0" xfId="0" applyFont="1" applyFill="1" applyAlignment="1">
      <alignment horizontal="center" vertical="center"/>
    </xf>
    <xf numFmtId="49" fontId="11" fillId="13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/>
    </xf>
    <xf numFmtId="0" fontId="3" fillId="14" borderId="5" xfId="0" applyFont="1" applyFill="1" applyBorder="1" applyAlignment="1">
      <alignment horizontal="center" wrapText="1"/>
    </xf>
    <xf numFmtId="1" fontId="11" fillId="0" borderId="5" xfId="2" applyNumberFormat="1" applyFont="1" applyFill="1" applyBorder="1" applyAlignment="1">
      <alignment horizontal="center" vertical="center"/>
    </xf>
    <xf numFmtId="9" fontId="11" fillId="0" borderId="5" xfId="5" applyFont="1" applyFill="1" applyBorder="1" applyAlignment="1">
      <alignment horizontal="center" vertical="center"/>
    </xf>
    <xf numFmtId="1" fontId="11" fillId="0" borderId="5" xfId="5" applyNumberFormat="1" applyFont="1" applyFill="1" applyBorder="1" applyAlignment="1">
      <alignment horizontal="center" vertical="center"/>
    </xf>
    <xf numFmtId="37" fontId="11" fillId="0" borderId="5" xfId="2" applyNumberFormat="1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6" fontId="0" fillId="15" borderId="0" xfId="0" applyNumberFormat="1" applyFill="1" applyAlignment="1">
      <alignment horizontal="center"/>
    </xf>
    <xf numFmtId="44" fontId="0" fillId="0" borderId="0" xfId="0" applyNumberFormat="1" applyAlignment="1">
      <alignment horizontal="center"/>
    </xf>
    <xf numFmtId="44" fontId="0" fillId="15" borderId="0" xfId="0" applyNumberForma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wrapText="1"/>
    </xf>
    <xf numFmtId="0" fontId="3" fillId="15" borderId="5" xfId="0" applyFont="1" applyFill="1" applyBorder="1" applyAlignment="1">
      <alignment horizontal="center" wrapText="1"/>
    </xf>
    <xf numFmtId="9" fontId="0" fillId="0" borderId="0" xfId="5" applyFont="1"/>
    <xf numFmtId="0" fontId="0" fillId="0" borderId="16" xfId="0" applyBorder="1"/>
    <xf numFmtId="164" fontId="24" fillId="0" borderId="17" xfId="4" applyNumberFormat="1" applyFont="1" applyFill="1" applyBorder="1" applyAlignment="1" applyProtection="1">
      <alignment horizontal="left"/>
    </xf>
    <xf numFmtId="0" fontId="0" fillId="0" borderId="17" xfId="0" applyBorder="1"/>
    <xf numFmtId="9" fontId="0" fillId="0" borderId="18" xfId="5" applyFont="1" applyBorder="1"/>
    <xf numFmtId="43" fontId="0" fillId="0" borderId="8" xfId="0" applyNumberFormat="1" applyBorder="1"/>
    <xf numFmtId="0" fontId="3" fillId="0" borderId="0" xfId="0" applyFont="1"/>
    <xf numFmtId="43" fontId="0" fillId="0" borderId="0" xfId="0" applyNumberFormat="1"/>
    <xf numFmtId="0" fontId="9" fillId="5" borderId="9" xfId="0" applyFont="1" applyFill="1" applyBorder="1"/>
    <xf numFmtId="43" fontId="21" fillId="5" borderId="5" xfId="1" applyFont="1" applyFill="1" applyBorder="1"/>
    <xf numFmtId="43" fontId="21" fillId="5" borderId="5" xfId="0" applyNumberFormat="1" applyFont="1" applyFill="1" applyBorder="1"/>
    <xf numFmtId="0" fontId="22" fillId="5" borderId="5" xfId="3" applyFont="1" applyFill="1" applyBorder="1" applyAlignment="1">
      <alignment horizontal="center"/>
    </xf>
    <xf numFmtId="0" fontId="23" fillId="5" borderId="11" xfId="0" applyFont="1" applyFill="1" applyBorder="1"/>
    <xf numFmtId="9" fontId="0" fillId="0" borderId="0" xfId="5" applyFont="1" applyAlignment="1">
      <alignment horizontal="center"/>
    </xf>
    <xf numFmtId="164" fontId="3" fillId="0" borderId="0" xfId="1" applyNumberFormat="1" applyFont="1" applyAlignment="1">
      <alignment horizontal="center"/>
    </xf>
    <xf numFmtId="43" fontId="0" fillId="5" borderId="5" xfId="0" applyNumberFormat="1" applyFill="1" applyBorder="1"/>
    <xf numFmtId="0" fontId="3" fillId="17" borderId="0" xfId="0" applyFont="1" applyFill="1"/>
    <xf numFmtId="44" fontId="3" fillId="17" borderId="19" xfId="2" applyFont="1" applyFill="1" applyBorder="1" applyAlignment="1">
      <alignment horizontal="center"/>
    </xf>
    <xf numFmtId="0" fontId="3" fillId="17" borderId="19" xfId="0" applyFont="1" applyFill="1" applyBorder="1" applyAlignment="1">
      <alignment horizontal="center" wrapText="1"/>
    </xf>
    <xf numFmtId="0" fontId="3" fillId="17" borderId="19" xfId="0" applyFont="1" applyFill="1" applyBorder="1" applyAlignment="1">
      <alignment horizontal="center"/>
    </xf>
    <xf numFmtId="43" fontId="0" fillId="18" borderId="0" xfId="1" applyFont="1" applyFill="1"/>
    <xf numFmtId="0" fontId="0" fillId="0" borderId="18" xfId="0" applyBorder="1"/>
    <xf numFmtId="43" fontId="0" fillId="0" borderId="18" xfId="1" applyFont="1" applyBorder="1"/>
    <xf numFmtId="43" fontId="0" fillId="0" borderId="15" xfId="1" applyFont="1" applyBorder="1"/>
    <xf numFmtId="44" fontId="11" fillId="5" borderId="5" xfId="2" applyFont="1" applyFill="1" applyBorder="1" applyAlignment="1">
      <alignment horizontal="center" vertical="center"/>
    </xf>
    <xf numFmtId="1" fontId="0" fillId="0" borderId="5" xfId="5" applyNumberFormat="1" applyFont="1" applyBorder="1" applyAlignment="1">
      <alignment horizontal="center"/>
    </xf>
    <xf numFmtId="44" fontId="0" fillId="5" borderId="5" xfId="2" applyFont="1" applyFill="1" applyBorder="1" applyAlignment="1">
      <alignment horizontal="center"/>
    </xf>
    <xf numFmtId="8" fontId="0" fillId="5" borderId="5" xfId="0" applyNumberFormat="1" applyFill="1" applyBorder="1" applyAlignment="1">
      <alignment horizontal="center"/>
    </xf>
    <xf numFmtId="44" fontId="0" fillId="19" borderId="5" xfId="0" applyNumberFormat="1" applyFill="1" applyBorder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43" fontId="0" fillId="0" borderId="0" xfId="1" applyFont="1" applyFill="1"/>
    <xf numFmtId="164" fontId="0" fillId="5" borderId="0" xfId="1" applyNumberFormat="1" applyFont="1" applyFill="1"/>
    <xf numFmtId="0" fontId="0" fillId="0" borderId="0" xfId="0" applyAlignment="1">
      <alignment wrapText="1"/>
    </xf>
    <xf numFmtId="43" fontId="0" fillId="0" borderId="0" xfId="1" applyFont="1" applyAlignment="1">
      <alignment horizontal="center"/>
    </xf>
    <xf numFmtId="164" fontId="0" fillId="2" borderId="0" xfId="0" applyNumberFormat="1" applyFill="1"/>
    <xf numFmtId="0" fontId="0" fillId="5" borderId="11" xfId="0" applyFill="1" applyBorder="1"/>
    <xf numFmtId="164" fontId="3" fillId="0" borderId="0" xfId="1" applyNumberFormat="1" applyFont="1" applyFill="1" applyAlignment="1">
      <alignment horizontal="center"/>
    </xf>
    <xf numFmtId="164" fontId="0" fillId="0" borderId="0" xfId="1" applyNumberFormat="1" applyFont="1" applyFill="1"/>
    <xf numFmtId="164" fontId="3" fillId="0" borderId="14" xfId="1" applyNumberFormat="1" applyFont="1" applyFill="1" applyBorder="1"/>
    <xf numFmtId="9" fontId="0" fillId="0" borderId="0" xfId="5" applyFont="1" applyFill="1" applyAlignment="1">
      <alignment horizontal="center"/>
    </xf>
    <xf numFmtId="3" fontId="14" fillId="9" borderId="5" xfId="0" applyNumberFormat="1" applyFont="1" applyFill="1" applyBorder="1" applyAlignment="1">
      <alignment horizontal="center" vertical="center" wrapText="1"/>
    </xf>
    <xf numFmtId="49" fontId="26" fillId="0" borderId="11" xfId="0" applyNumberFormat="1" applyFont="1" applyBorder="1"/>
    <xf numFmtId="9" fontId="0" fillId="0" borderId="5" xfId="0" applyNumberFormat="1" applyBorder="1" applyAlignment="1">
      <alignment horizontal="center"/>
    </xf>
    <xf numFmtId="0" fontId="0" fillId="4" borderId="0" xfId="0" applyFill="1"/>
    <xf numFmtId="0" fontId="23" fillId="4" borderId="0" xfId="0" applyFont="1" applyFill="1"/>
    <xf numFmtId="43" fontId="0" fillId="5" borderId="0" xfId="1" applyFont="1" applyFill="1"/>
    <xf numFmtId="166" fontId="3" fillId="0" borderId="0" xfId="2" applyNumberFormat="1" applyFont="1"/>
    <xf numFmtId="0" fontId="3" fillId="5" borderId="0" xfId="0" applyFont="1" applyFill="1"/>
    <xf numFmtId="166" fontId="3" fillId="5" borderId="0" xfId="2" applyNumberFormat="1" applyFont="1" applyFill="1"/>
    <xf numFmtId="43" fontId="0" fillId="5" borderId="0" xfId="0" applyNumberFormat="1" applyFill="1"/>
    <xf numFmtId="0" fontId="12" fillId="0" borderId="0" xfId="0" applyFont="1"/>
    <xf numFmtId="166" fontId="12" fillId="0" borderId="0" xfId="2" applyNumberFormat="1" applyFont="1"/>
    <xf numFmtId="0" fontId="8" fillId="5" borderId="10" xfId="3" applyFont="1" applyFill="1" applyBorder="1"/>
    <xf numFmtId="0" fontId="0" fillId="0" borderId="0" xfId="0" applyAlignment="1">
      <alignment horizontal="right"/>
    </xf>
    <xf numFmtId="43" fontId="25" fillId="21" borderId="21" xfId="1" applyFont="1" applyFill="1" applyBorder="1" applyAlignment="1">
      <alignment horizontal="center" vertical="center"/>
    </xf>
    <xf numFmtId="43" fontId="0" fillId="0" borderId="0" xfId="1" applyFont="1" applyAlignment="1">
      <alignment wrapText="1"/>
    </xf>
    <xf numFmtId="43" fontId="0" fillId="2" borderId="0" xfId="1" applyFont="1" applyFill="1"/>
    <xf numFmtId="164" fontId="4" fillId="2" borderId="24" xfId="1" applyNumberFormat="1" applyFont="1" applyFill="1" applyBorder="1"/>
    <xf numFmtId="164" fontId="0" fillId="0" borderId="5" xfId="1" applyNumberFormat="1" applyFont="1" applyBorder="1"/>
    <xf numFmtId="0" fontId="0" fillId="0" borderId="22" xfId="0" applyBorder="1"/>
    <xf numFmtId="43" fontId="11" fillId="0" borderId="0" xfId="1" applyFont="1" applyAlignment="1">
      <alignment horizontal="center"/>
    </xf>
    <xf numFmtId="43" fontId="0" fillId="22" borderId="0" xfId="1" applyFont="1" applyFill="1"/>
    <xf numFmtId="43" fontId="0" fillId="22" borderId="0" xfId="0" applyNumberFormat="1" applyFill="1"/>
    <xf numFmtId="0" fontId="0" fillId="3" borderId="0" xfId="0" applyFill="1"/>
    <xf numFmtId="0" fontId="3" fillId="18" borderId="0" xfId="0" applyFont="1" applyFill="1" applyAlignment="1">
      <alignment wrapText="1"/>
    </xf>
    <xf numFmtId="0" fontId="3" fillId="14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27" fillId="0" borderId="0" xfId="0" applyFont="1" applyAlignment="1">
      <alignment horizontal="left" vertical="center"/>
    </xf>
    <xf numFmtId="0" fontId="2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center"/>
    </xf>
    <xf numFmtId="8" fontId="0" fillId="0" borderId="0" xfId="2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27" fillId="0" borderId="0" xfId="0" applyNumberFormat="1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14" fontId="27" fillId="0" borderId="0" xfId="0" applyNumberFormat="1" applyFont="1" applyAlignment="1">
      <alignment horizontal="left" vertical="center"/>
    </xf>
    <xf numFmtId="6" fontId="27" fillId="0" borderId="0" xfId="0" applyNumberFormat="1" applyFont="1" applyAlignment="1">
      <alignment horizontal="left" vertical="center"/>
    </xf>
    <xf numFmtId="0" fontId="27" fillId="0" borderId="0" xfId="0" applyFont="1"/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3" fillId="8" borderId="0" xfId="0" applyFont="1" applyFill="1"/>
    <xf numFmtId="0" fontId="3" fillId="14" borderId="16" xfId="0" applyFont="1" applyFill="1" applyBorder="1" applyAlignment="1">
      <alignment horizontal="left"/>
    </xf>
    <xf numFmtId="164" fontId="0" fillId="0" borderId="23" xfId="1" applyNumberFormat="1" applyFont="1" applyBorder="1"/>
    <xf numFmtId="0" fontId="3" fillId="14" borderId="7" xfId="0" applyFont="1" applyFill="1" applyBorder="1" applyAlignment="1">
      <alignment horizontal="left" vertical="center"/>
    </xf>
    <xf numFmtId="164" fontId="0" fillId="0" borderId="6" xfId="1" applyNumberFormat="1" applyFont="1" applyBorder="1"/>
    <xf numFmtId="0" fontId="3" fillId="14" borderId="17" xfId="0" applyFont="1" applyFill="1" applyBorder="1" applyAlignment="1">
      <alignment horizontal="left" vertical="center"/>
    </xf>
    <xf numFmtId="164" fontId="0" fillId="0" borderId="22" xfId="1" applyNumberFormat="1" applyFont="1" applyBorder="1"/>
    <xf numFmtId="0" fontId="3" fillId="0" borderId="16" xfId="0" applyFont="1" applyBorder="1"/>
    <xf numFmtId="0" fontId="3" fillId="0" borderId="7" xfId="0" applyFont="1" applyBorder="1"/>
    <xf numFmtId="0" fontId="3" fillId="0" borderId="17" xfId="0" applyFont="1" applyBorder="1"/>
    <xf numFmtId="0" fontId="3" fillId="14" borderId="20" xfId="0" applyFont="1" applyFill="1" applyBorder="1" applyAlignment="1">
      <alignment horizontal="left" vertical="center"/>
    </xf>
    <xf numFmtId="0" fontId="3" fillId="14" borderId="16" xfId="0" applyFont="1" applyFill="1" applyBorder="1" applyAlignment="1">
      <alignment horizontal="left" vertical="center"/>
    </xf>
    <xf numFmtId="0" fontId="3" fillId="14" borderId="7" xfId="0" applyFont="1" applyFill="1" applyBorder="1" applyAlignment="1">
      <alignment horizontal="left"/>
    </xf>
    <xf numFmtId="0" fontId="3" fillId="14" borderId="17" xfId="0" applyFont="1" applyFill="1" applyBorder="1" applyAlignment="1">
      <alignment horizontal="left"/>
    </xf>
    <xf numFmtId="9" fontId="0" fillId="0" borderId="22" xfId="5" applyFont="1" applyBorder="1"/>
    <xf numFmtId="0" fontId="3" fillId="14" borderId="5" xfId="0" applyFont="1" applyFill="1" applyBorder="1"/>
    <xf numFmtId="0" fontId="0" fillId="0" borderId="6" xfId="0" applyBorder="1"/>
    <xf numFmtId="0" fontId="3" fillId="14" borderId="23" xfId="0" applyFont="1" applyFill="1" applyBorder="1" applyAlignment="1">
      <alignment horizontal="left" vertical="center"/>
    </xf>
    <xf numFmtId="164" fontId="0" fillId="0" borderId="23" xfId="0" applyNumberFormat="1" applyBorder="1"/>
    <xf numFmtId="0" fontId="3" fillId="14" borderId="6" xfId="0" applyFont="1" applyFill="1" applyBorder="1" applyAlignment="1">
      <alignment horizontal="left" vertical="center"/>
    </xf>
    <xf numFmtId="164" fontId="0" fillId="0" borderId="6" xfId="0" applyNumberFormat="1" applyBorder="1"/>
    <xf numFmtId="0" fontId="3" fillId="14" borderId="22" xfId="0" applyFont="1" applyFill="1" applyBorder="1" applyAlignment="1">
      <alignment horizontal="left" vertical="center"/>
    </xf>
    <xf numFmtId="164" fontId="0" fillId="0" borderId="22" xfId="0" applyNumberFormat="1" applyBorder="1"/>
    <xf numFmtId="0" fontId="3" fillId="16" borderId="28" xfId="0" applyFont="1" applyFill="1" applyBorder="1" applyAlignment="1">
      <alignment wrapText="1"/>
    </xf>
    <xf numFmtId="0" fontId="5" fillId="0" borderId="29" xfId="0" applyFont="1" applyBorder="1"/>
    <xf numFmtId="0" fontId="0" fillId="0" borderId="30" xfId="0" applyBorder="1"/>
    <xf numFmtId="0" fontId="3" fillId="5" borderId="5" xfId="0" applyFont="1" applyFill="1" applyBorder="1"/>
    <xf numFmtId="164" fontId="0" fillId="5" borderId="23" xfId="1" applyNumberFormat="1" applyFont="1" applyFill="1" applyBorder="1"/>
    <xf numFmtId="164" fontId="0" fillId="5" borderId="6" xfId="1" applyNumberFormat="1" applyFont="1" applyFill="1" applyBorder="1"/>
    <xf numFmtId="164" fontId="0" fillId="5" borderId="22" xfId="1" applyNumberFormat="1" applyFont="1" applyFill="1" applyBorder="1"/>
    <xf numFmtId="167" fontId="0" fillId="0" borderId="18" xfId="0" applyNumberFormat="1" applyBorder="1"/>
    <xf numFmtId="0" fontId="0" fillId="0" borderId="26" xfId="0" applyBorder="1"/>
    <xf numFmtId="8" fontId="3" fillId="0" borderId="8" xfId="0" applyNumberFormat="1" applyFont="1" applyBorder="1"/>
    <xf numFmtId="0" fontId="0" fillId="0" borderId="8" xfId="0" applyBorder="1"/>
    <xf numFmtId="0" fontId="0" fillId="0" borderId="27" xfId="0" applyBorder="1"/>
    <xf numFmtId="164" fontId="0" fillId="0" borderId="0" xfId="1" applyNumberFormat="1" applyFont="1" applyFill="1" applyBorder="1"/>
    <xf numFmtId="0" fontId="2" fillId="23" borderId="31" xfId="0" applyFont="1" applyFill="1" applyBorder="1" applyAlignment="1">
      <alignment wrapText="1"/>
    </xf>
    <xf numFmtId="0" fontId="2" fillId="23" borderId="32" xfId="0" applyFont="1" applyFill="1" applyBorder="1" applyAlignment="1">
      <alignment wrapText="1"/>
    </xf>
    <xf numFmtId="0" fontId="2" fillId="0" borderId="0" xfId="0" applyFont="1" applyAlignment="1">
      <alignment wrapText="1"/>
    </xf>
    <xf numFmtId="9" fontId="16" fillId="23" borderId="32" xfId="5" applyFont="1" applyFill="1" applyBorder="1" applyAlignment="1">
      <alignment horizontal="center" wrapText="1"/>
    </xf>
    <xf numFmtId="0" fontId="2" fillId="23" borderId="32" xfId="0" applyFont="1" applyFill="1" applyBorder="1" applyAlignment="1">
      <alignment horizontal="center" wrapText="1"/>
    </xf>
    <xf numFmtId="43" fontId="0" fillId="0" borderId="22" xfId="1" applyFont="1" applyBorder="1"/>
    <xf numFmtId="164" fontId="0" fillId="0" borderId="33" xfId="1" applyNumberFormat="1" applyFont="1" applyBorder="1"/>
    <xf numFmtId="43" fontId="0" fillId="0" borderId="34" xfId="1" applyFont="1" applyBorder="1"/>
    <xf numFmtId="43" fontId="0" fillId="0" borderId="33" xfId="1" applyFont="1" applyBorder="1"/>
    <xf numFmtId="43" fontId="3" fillId="20" borderId="34" xfId="1" applyFont="1" applyFill="1" applyBorder="1" applyAlignment="1">
      <alignment horizontal="center"/>
    </xf>
    <xf numFmtId="0" fontId="2" fillId="23" borderId="28" xfId="0" applyFont="1" applyFill="1" applyBorder="1" applyAlignment="1">
      <alignment wrapText="1"/>
    </xf>
    <xf numFmtId="0" fontId="0" fillId="0" borderId="0" xfId="0" applyAlignment="1">
      <alignment horizontal="right" wrapText="1"/>
    </xf>
    <xf numFmtId="164" fontId="3" fillId="0" borderId="25" xfId="1" applyNumberFormat="1" applyFont="1" applyFill="1" applyBorder="1"/>
    <xf numFmtId="164" fontId="3" fillId="0" borderId="25" xfId="1" applyNumberFormat="1" applyFont="1" applyBorder="1"/>
    <xf numFmtId="164" fontId="4" fillId="3" borderId="35" xfId="1" applyNumberFormat="1" applyFont="1" applyFill="1" applyBorder="1"/>
    <xf numFmtId="164" fontId="0" fillId="0" borderId="15" xfId="1" applyNumberFormat="1" applyFont="1" applyFill="1" applyBorder="1" applyAlignment="1">
      <alignment horizontal="center"/>
    </xf>
    <xf numFmtId="164" fontId="3" fillId="0" borderId="0" xfId="1" applyNumberFormat="1" applyFont="1" applyFill="1" applyBorder="1"/>
    <xf numFmtId="164" fontId="3" fillId="0" borderId="0" xfId="1" applyNumberFormat="1" applyFont="1" applyBorder="1"/>
    <xf numFmtId="0" fontId="5" fillId="4" borderId="0" xfId="0" applyFont="1" applyFill="1"/>
    <xf numFmtId="164" fontId="3" fillId="0" borderId="0" xfId="1" applyNumberFormat="1" applyFont="1" applyFill="1" applyAlignment="1">
      <alignment horizontal="center" wrapText="1"/>
    </xf>
    <xf numFmtId="0" fontId="28" fillId="0" borderId="0" xfId="0" applyFont="1"/>
    <xf numFmtId="14" fontId="27" fillId="0" borderId="0" xfId="0" applyNumberFormat="1" applyFont="1" applyAlignment="1" applyProtection="1">
      <alignment horizontal="left" vertical="center" wrapText="1"/>
      <protection locked="0"/>
    </xf>
    <xf numFmtId="164" fontId="0" fillId="0" borderId="6" xfId="1" applyNumberFormat="1" applyFont="1" applyFill="1" applyBorder="1"/>
    <xf numFmtId="0" fontId="3" fillId="16" borderId="2" xfId="0" applyFont="1" applyFill="1" applyBorder="1" applyAlignment="1">
      <alignment wrapText="1"/>
    </xf>
    <xf numFmtId="0" fontId="0" fillId="0" borderId="36" xfId="0" applyBorder="1"/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horizontal="center" wrapText="1"/>
    </xf>
    <xf numFmtId="10" fontId="0" fillId="0" borderId="0" xfId="5" applyNumberFormat="1" applyFont="1"/>
    <xf numFmtId="14" fontId="0" fillId="0" borderId="0" xfId="0" applyNumberFormat="1"/>
    <xf numFmtId="43" fontId="3" fillId="0" borderId="0" xfId="1" applyFont="1" applyFill="1"/>
    <xf numFmtId="0" fontId="0" fillId="22" borderId="0" xfId="0" applyFill="1"/>
    <xf numFmtId="43" fontId="0" fillId="22" borderId="22" xfId="1" applyFont="1" applyFill="1" applyBorder="1"/>
    <xf numFmtId="43" fontId="0" fillId="22" borderId="34" xfId="1" applyFont="1" applyFill="1" applyBorder="1"/>
    <xf numFmtId="0" fontId="3" fillId="5" borderId="0" xfId="0" applyFont="1" applyFill="1" applyAlignment="1">
      <alignment wrapText="1"/>
    </xf>
    <xf numFmtId="43" fontId="3" fillId="5" borderId="0" xfId="1" applyFont="1" applyFill="1"/>
    <xf numFmtId="43" fontId="0" fillId="5" borderId="0" xfId="1" applyFont="1" applyFill="1" applyAlignment="1">
      <alignment wrapText="1"/>
    </xf>
    <xf numFmtId="165" fontId="0" fillId="5" borderId="0" xfId="0" applyNumberFormat="1" applyFill="1" applyAlignment="1">
      <alignment horizontal="left" vertical="center"/>
    </xf>
    <xf numFmtId="165" fontId="0" fillId="5" borderId="0" xfId="0" applyNumberFormat="1" applyFill="1" applyProtection="1">
      <protection locked="0"/>
    </xf>
    <xf numFmtId="0" fontId="31" fillId="0" borderId="0" xfId="0" applyFont="1" applyAlignment="1">
      <alignment wrapText="1"/>
    </xf>
    <xf numFmtId="0" fontId="32" fillId="24" borderId="0" xfId="0" applyFont="1" applyFill="1"/>
    <xf numFmtId="164" fontId="33" fillId="25" borderId="0" xfId="1" applyNumberFormat="1" applyFont="1" applyFill="1" applyAlignment="1">
      <alignment horizontal="center"/>
    </xf>
    <xf numFmtId="0" fontId="0" fillId="24" borderId="0" xfId="0" applyFill="1"/>
    <xf numFmtId="0" fontId="34" fillId="0" borderId="0" xfId="0" applyFont="1"/>
    <xf numFmtId="164" fontId="0" fillId="26" borderId="0" xfId="1" applyNumberFormat="1" applyFont="1" applyFill="1"/>
    <xf numFmtId="0" fontId="28" fillId="26" borderId="0" xfId="0" applyFont="1" applyFill="1"/>
    <xf numFmtId="0" fontId="0" fillId="26" borderId="0" xfId="0" applyFill="1" applyAlignment="1">
      <alignment horizontal="left" vertical="center"/>
    </xf>
    <xf numFmtId="0" fontId="3" fillId="14" borderId="0" xfId="0" applyFont="1" applyFill="1" applyAlignment="1">
      <alignment horizontal="left"/>
    </xf>
    <xf numFmtId="164" fontId="0" fillId="0" borderId="0" xfId="1" applyNumberFormat="1" applyFont="1" applyBorder="1"/>
    <xf numFmtId="0" fontId="23" fillId="0" borderId="0" xfId="0" applyFont="1" applyAlignment="1">
      <alignment horizontal="left" vertical="center"/>
    </xf>
    <xf numFmtId="0" fontId="23" fillId="0" borderId="0" xfId="0" applyFont="1"/>
    <xf numFmtId="0" fontId="23" fillId="26" borderId="0" xfId="0" applyFont="1" applyFill="1"/>
    <xf numFmtId="0" fontId="35" fillId="8" borderId="0" xfId="0" applyFont="1" applyFill="1"/>
    <xf numFmtId="43" fontId="3" fillId="0" borderId="0" xfId="1" applyFont="1"/>
    <xf numFmtId="0" fontId="32" fillId="22" borderId="0" xfId="0" applyFont="1" applyFill="1"/>
    <xf numFmtId="0" fontId="36" fillId="0" borderId="0" xfId="0" applyFont="1"/>
    <xf numFmtId="0" fontId="35" fillId="6" borderId="5" xfId="0" applyFont="1" applyFill="1" applyBorder="1"/>
    <xf numFmtId="0" fontId="38" fillId="0" borderId="5" xfId="6" applyFont="1" applyBorder="1" applyAlignment="1">
      <alignment horizontal="center" wrapText="1"/>
    </xf>
    <xf numFmtId="164" fontId="1" fillId="0" borderId="5" xfId="1" applyNumberFormat="1" applyFont="1" applyBorder="1"/>
    <xf numFmtId="0" fontId="3" fillId="0" borderId="5" xfId="0" applyFont="1" applyBorder="1" applyAlignment="1">
      <alignment horizontal="right"/>
    </xf>
    <xf numFmtId="164" fontId="3" fillId="0" borderId="5" xfId="1" applyNumberFormat="1" applyFont="1" applyBorder="1"/>
    <xf numFmtId="43" fontId="3" fillId="0" borderId="0" xfId="0" applyNumberFormat="1" applyFont="1"/>
    <xf numFmtId="0" fontId="0" fillId="4" borderId="5" xfId="0" applyFill="1" applyBorder="1"/>
    <xf numFmtId="0" fontId="32" fillId="4" borderId="5" xfId="0" applyFont="1" applyFill="1" applyBorder="1"/>
    <xf numFmtId="0" fontId="38" fillId="4" borderId="5" xfId="6" applyFont="1" applyFill="1" applyBorder="1" applyAlignment="1">
      <alignment horizontal="center" wrapText="1"/>
    </xf>
    <xf numFmtId="164" fontId="0" fillId="4" borderId="5" xfId="1" applyNumberFormat="1" applyFont="1" applyFill="1" applyBorder="1"/>
    <xf numFmtId="164" fontId="3" fillId="4" borderId="5" xfId="1" applyNumberFormat="1" applyFont="1" applyFill="1" applyBorder="1"/>
    <xf numFmtId="0" fontId="39" fillId="0" borderId="5" xfId="6" applyFont="1" applyBorder="1" applyAlignment="1">
      <alignment horizontal="center" wrapText="1"/>
    </xf>
    <xf numFmtId="0" fontId="23" fillId="0" borderId="5" xfId="0" applyFont="1" applyBorder="1"/>
    <xf numFmtId="164" fontId="23" fillId="0" borderId="5" xfId="1" applyNumberFormat="1" applyFont="1" applyBorder="1"/>
    <xf numFmtId="164" fontId="35" fillId="0" borderId="5" xfId="1" applyNumberFormat="1" applyFont="1" applyBorder="1"/>
    <xf numFmtId="0" fontId="3" fillId="2" borderId="0" xfId="0" applyFont="1" applyFill="1"/>
    <xf numFmtId="0" fontId="36" fillId="0" borderId="0" xfId="0" applyFont="1" applyAlignment="1">
      <alignment wrapText="1"/>
    </xf>
    <xf numFmtId="164" fontId="0" fillId="0" borderId="5" xfId="0" applyNumberFormat="1" applyBorder="1"/>
    <xf numFmtId="164" fontId="3" fillId="0" borderId="5" xfId="0" applyNumberFormat="1" applyFont="1" applyBorder="1"/>
    <xf numFmtId="0" fontId="40" fillId="0" borderId="0" xfId="0" applyFont="1"/>
    <xf numFmtId="0" fontId="41" fillId="2" borderId="9" xfId="0" applyFont="1" applyFill="1" applyBorder="1"/>
    <xf numFmtId="0" fontId="40" fillId="2" borderId="0" xfId="0" applyFont="1" applyFill="1"/>
    <xf numFmtId="43" fontId="42" fillId="2" borderId="0" xfId="1" applyFont="1" applyFill="1" applyAlignment="1">
      <alignment horizontal="center"/>
    </xf>
    <xf numFmtId="43" fontId="40" fillId="2" borderId="0" xfId="1" applyFont="1" applyFill="1"/>
    <xf numFmtId="43" fontId="1" fillId="0" borderId="0" xfId="1" applyFont="1"/>
    <xf numFmtId="43" fontId="1" fillId="0" borderId="18" xfId="1" applyFont="1" applyBorder="1"/>
    <xf numFmtId="43" fontId="3" fillId="0" borderId="37" xfId="1" applyFont="1" applyBorder="1"/>
    <xf numFmtId="0" fontId="0" fillId="27" borderId="0" xfId="0" applyFill="1"/>
    <xf numFmtId="0" fontId="3" fillId="0" borderId="0" xfId="0" applyFont="1" applyAlignment="1">
      <alignment wrapText="1"/>
    </xf>
    <xf numFmtId="165" fontId="0" fillId="0" borderId="0" xfId="0" applyNumberFormat="1"/>
    <xf numFmtId="0" fontId="0" fillId="26" borderId="0" xfId="0" applyFill="1"/>
    <xf numFmtId="168" fontId="0" fillId="0" borderId="0" xfId="0" applyNumberFormat="1"/>
    <xf numFmtId="0" fontId="43" fillId="0" borderId="0" xfId="0" applyFont="1" applyAlignment="1">
      <alignment wrapText="1"/>
    </xf>
    <xf numFmtId="164" fontId="0" fillId="0" borderId="0" xfId="1" applyNumberFormat="1" applyFont="1" applyFill="1" applyBorder="1" applyAlignment="1">
      <alignment horizontal="center"/>
    </xf>
    <xf numFmtId="164" fontId="26" fillId="4" borderId="5" xfId="1" applyNumberFormat="1" applyFont="1" applyFill="1" applyBorder="1"/>
    <xf numFmtId="165" fontId="3" fillId="0" borderId="0" xfId="0" applyNumberFormat="1" applyFont="1"/>
    <xf numFmtId="0" fontId="23" fillId="0" borderId="0" xfId="0" applyFont="1" applyAlignment="1">
      <alignment wrapText="1"/>
    </xf>
    <xf numFmtId="164" fontId="23" fillId="0" borderId="0" xfId="1" applyNumberFormat="1" applyFont="1" applyFill="1" applyAlignment="1">
      <alignment horizontal="center"/>
    </xf>
    <xf numFmtId="164" fontId="23" fillId="0" borderId="0" xfId="1" applyNumberFormat="1" applyFont="1" applyFill="1"/>
    <xf numFmtId="164" fontId="1" fillId="0" borderId="0" xfId="1" applyNumberFormat="1" applyFont="1" applyFill="1" applyBorder="1"/>
    <xf numFmtId="164" fontId="1" fillId="0" borderId="0" xfId="1" applyNumberFormat="1" applyFont="1" applyBorder="1"/>
    <xf numFmtId="164" fontId="0" fillId="18" borderId="0" xfId="1" applyNumberFormat="1" applyFont="1" applyFill="1" applyAlignment="1">
      <alignment horizontal="center"/>
    </xf>
    <xf numFmtId="164" fontId="3" fillId="18" borderId="0" xfId="1" applyNumberFormat="1" applyFont="1" applyFill="1" applyAlignment="1">
      <alignment horizontal="center" wrapText="1"/>
    </xf>
    <xf numFmtId="164" fontId="4" fillId="2" borderId="8" xfId="1" applyNumberFormat="1" applyFont="1" applyFill="1" applyBorder="1"/>
    <xf numFmtId="9" fontId="3" fillId="0" borderId="14" xfId="5" applyFont="1" applyBorder="1"/>
    <xf numFmtId="9" fontId="3" fillId="0" borderId="0" xfId="5" applyFont="1" applyAlignment="1">
      <alignment horizontal="center" wrapText="1"/>
    </xf>
    <xf numFmtId="9" fontId="4" fillId="2" borderId="0" xfId="5" applyFont="1" applyFill="1" applyBorder="1"/>
    <xf numFmtId="9" fontId="3" fillId="0" borderId="25" xfId="5" applyFont="1" applyBorder="1"/>
    <xf numFmtId="9" fontId="0" fillId="0" borderId="0" xfId="5" applyFont="1" applyBorder="1"/>
    <xf numFmtId="9" fontId="1" fillId="0" borderId="0" xfId="5" applyFont="1" applyBorder="1"/>
    <xf numFmtId="9" fontId="3" fillId="0" borderId="0" xfId="5" applyFont="1" applyBorder="1"/>
    <xf numFmtId="9" fontId="3" fillId="0" borderId="15" xfId="5" applyFont="1" applyFill="1" applyBorder="1" applyAlignment="1">
      <alignment horizontal="center"/>
    </xf>
    <xf numFmtId="164" fontId="4" fillId="0" borderId="0" xfId="1" applyNumberFormat="1" applyFont="1" applyFill="1" applyBorder="1"/>
    <xf numFmtId="9" fontId="3" fillId="0" borderId="0" xfId="5" applyFont="1" applyFill="1" applyBorder="1" applyAlignment="1">
      <alignment horizontal="center"/>
    </xf>
    <xf numFmtId="0" fontId="11" fillId="0" borderId="0" xfId="0" applyFont="1" applyAlignment="1">
      <alignment horizontal="center" vertical="center" readingOrder="1"/>
    </xf>
    <xf numFmtId="0" fontId="15" fillId="11" borderId="0" xfId="0" applyFont="1" applyFill="1" applyAlignment="1">
      <alignment horizontal="center"/>
    </xf>
  </cellXfs>
  <cellStyles count="7">
    <cellStyle name="Comma" xfId="1" builtinId="3"/>
    <cellStyle name="Comma 10 17" xfId="4" xr:uid="{541ACD42-F083-47CD-A45B-623922D22BA1}"/>
    <cellStyle name="Currency" xfId="2" builtinId="4"/>
    <cellStyle name="HeaderCellStyle" xfId="6" xr:uid="{5DD69175-BA50-4FDC-A7C9-53BEF8923160}"/>
    <cellStyle name="Normal" xfId="0" builtinId="0"/>
    <cellStyle name="Normal 2" xfId="3" xr:uid="{34A0FADD-E9D4-4884-993F-D3B5A62A5B15}"/>
    <cellStyle name="Percent" xfId="5" builtinId="5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vneet Sethi" id="{0FB576A3-8620-4F20-952B-F95FC9D3F7C7}" userId="S::ssethi@smartmgnt.com::777e7c94-504e-4041-87b8-d992d5a0f1e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35" dT="2026-05-01T13:48:00.61" personId="{0FB576A3-8620-4F20-952B-F95FC9D3F7C7}" id="{E20D4002-6157-4FE1-880F-0D31506C8AF8}">
    <text>Only 28,545 to be considered referendum</text>
  </threadedComment>
</ThreadedComment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B4D1-A36D-4DEA-8CF7-69F5874FB61A}">
  <dimension ref="B1:E5"/>
  <sheetViews>
    <sheetView workbookViewId="0">
      <selection activeCell="B11" sqref="B11"/>
    </sheetView>
  </sheetViews>
  <sheetFormatPr defaultColWidth="13.81640625" defaultRowHeight="14.5" x14ac:dyDescent="0.35"/>
  <cols>
    <col min="2" max="2" width="39.1796875" customWidth="1"/>
  </cols>
  <sheetData>
    <row r="1" spans="2:5" ht="32.5" customHeight="1" x14ac:dyDescent="0.35">
      <c r="B1" s="23" t="s">
        <v>399</v>
      </c>
      <c r="C1" s="24" t="s">
        <v>345</v>
      </c>
      <c r="D1" s="24"/>
    </row>
    <row r="2" spans="2:5" x14ac:dyDescent="0.35">
      <c r="B2" s="19" t="s">
        <v>344</v>
      </c>
      <c r="C2" s="20">
        <f>378-C3-C4</f>
        <v>253</v>
      </c>
      <c r="D2" s="21"/>
    </row>
    <row r="3" spans="2:5" x14ac:dyDescent="0.35">
      <c r="B3" s="19" t="s">
        <v>343</v>
      </c>
      <c r="C3" s="20">
        <v>72</v>
      </c>
      <c r="D3" s="21"/>
      <c r="E3" t="s">
        <v>372</v>
      </c>
    </row>
    <row r="4" spans="2:5" x14ac:dyDescent="0.35">
      <c r="B4" s="19" t="s">
        <v>398</v>
      </c>
      <c r="C4" s="20">
        <v>53</v>
      </c>
      <c r="D4" s="21"/>
      <c r="E4" t="s">
        <v>372</v>
      </c>
    </row>
    <row r="5" spans="2:5" x14ac:dyDescent="0.35">
      <c r="B5" s="22" t="s">
        <v>0</v>
      </c>
      <c r="C5" s="125">
        <f>SUM(C2:C4)</f>
        <v>378</v>
      </c>
      <c r="D5" s="125"/>
      <c r="E5" t="s">
        <v>378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9BB7-37F4-43C0-B426-AEAD8A03DAA5}">
  <dimension ref="A4:Z31"/>
  <sheetViews>
    <sheetView workbookViewId="0">
      <selection sqref="A1:F9"/>
    </sheetView>
  </sheetViews>
  <sheetFormatPr defaultRowHeight="14.5" x14ac:dyDescent="0.35"/>
  <cols>
    <col min="1" max="1" width="25.453125" customWidth="1"/>
    <col min="2" max="2" width="12.81640625" bestFit="1" customWidth="1"/>
    <col min="3" max="3" width="16.1796875" customWidth="1"/>
    <col min="4" max="4" width="12.81640625" bestFit="1" customWidth="1"/>
    <col min="5" max="5" width="20" customWidth="1"/>
    <col min="6" max="6" width="22.453125" bestFit="1" customWidth="1"/>
    <col min="7" max="7" width="18.81640625" bestFit="1" customWidth="1"/>
    <col min="8" max="8" width="13.453125" customWidth="1"/>
    <col min="9" max="9" width="19.1796875" customWidth="1"/>
    <col min="10" max="10" width="16.1796875" customWidth="1"/>
    <col min="11" max="11" width="19.453125" customWidth="1"/>
    <col min="12" max="12" width="18" customWidth="1"/>
    <col min="13" max="13" width="16.453125" customWidth="1"/>
    <col min="15" max="16" width="15.54296875" customWidth="1"/>
    <col min="17" max="17" width="20" customWidth="1"/>
    <col min="18" max="18" width="22.1796875" customWidth="1"/>
    <col min="19" max="19" width="17.54296875" customWidth="1"/>
  </cols>
  <sheetData>
    <row r="4" spans="1:13" x14ac:dyDescent="0.35">
      <c r="A4" s="12" t="s">
        <v>224</v>
      </c>
    </row>
    <row r="5" spans="1:13" s="64" customFormat="1" x14ac:dyDescent="0.35">
      <c r="A5" s="63" t="s">
        <v>225</v>
      </c>
      <c r="B5" s="63" t="s">
        <v>226</v>
      </c>
      <c r="C5" s="63" t="s">
        <v>98</v>
      </c>
      <c r="D5" s="63" t="s">
        <v>227</v>
      </c>
      <c r="E5" s="63" t="s">
        <v>228</v>
      </c>
      <c r="F5" s="63" t="s">
        <v>229</v>
      </c>
      <c r="G5" s="63" t="s">
        <v>230</v>
      </c>
      <c r="H5" s="76" t="s">
        <v>177</v>
      </c>
      <c r="I5" s="63" t="s">
        <v>231</v>
      </c>
      <c r="J5" s="77" t="s">
        <v>232</v>
      </c>
    </row>
    <row r="6" spans="1:13" s="62" customFormat="1" x14ac:dyDescent="0.35">
      <c r="A6" s="57" t="s">
        <v>1</v>
      </c>
      <c r="B6" s="57" t="s">
        <v>233</v>
      </c>
      <c r="C6" s="57" t="s">
        <v>234</v>
      </c>
      <c r="D6" s="58" t="s">
        <v>235</v>
      </c>
      <c r="E6" s="59">
        <v>9</v>
      </c>
      <c r="F6" s="60">
        <v>12</v>
      </c>
      <c r="G6" s="61">
        <v>35</v>
      </c>
      <c r="H6" s="61">
        <f t="shared" ref="H6" si="0">200*E6</f>
        <v>1800</v>
      </c>
      <c r="I6" s="112">
        <f t="shared" ref="I6" si="1">(E6*F6*G6)+H6</f>
        <v>5580</v>
      </c>
      <c r="J6" s="78">
        <f t="shared" ref="J6" si="2">E6*F6*G6</f>
        <v>3780</v>
      </c>
      <c r="K6" s="113"/>
    </row>
    <row r="7" spans="1:13" s="62" customFormat="1" x14ac:dyDescent="0.35">
      <c r="A7" s="68"/>
      <c r="B7" s="68"/>
      <c r="C7" s="68"/>
      <c r="D7" s="69"/>
      <c r="F7" s="70"/>
      <c r="G7" s="65"/>
      <c r="H7" s="65"/>
      <c r="I7" s="79"/>
      <c r="J7" s="65"/>
    </row>
    <row r="9" spans="1:13" ht="29" x14ac:dyDescent="0.35">
      <c r="A9" s="12" t="s">
        <v>104</v>
      </c>
      <c r="E9" s="82" t="s">
        <v>236</v>
      </c>
    </row>
    <row r="10" spans="1:13" s="64" customFormat="1" x14ac:dyDescent="0.35">
      <c r="A10" s="63" t="s">
        <v>225</v>
      </c>
      <c r="B10" s="63" t="s">
        <v>226</v>
      </c>
      <c r="C10" s="63" t="s">
        <v>98</v>
      </c>
      <c r="D10" s="63" t="s">
        <v>227</v>
      </c>
      <c r="E10" s="76" t="s">
        <v>237</v>
      </c>
      <c r="F10" s="76" t="s">
        <v>238</v>
      </c>
      <c r="G10" s="63" t="s">
        <v>239</v>
      </c>
      <c r="H10" s="63" t="s">
        <v>240</v>
      </c>
      <c r="I10" s="63" t="s">
        <v>241</v>
      </c>
      <c r="J10" s="63" t="s">
        <v>242</v>
      </c>
      <c r="K10" s="76" t="s">
        <v>177</v>
      </c>
      <c r="L10" s="63" t="s">
        <v>231</v>
      </c>
      <c r="M10" s="77" t="s">
        <v>243</v>
      </c>
    </row>
    <row r="11" spans="1:13" s="62" customFormat="1" x14ac:dyDescent="0.35">
      <c r="A11" s="57" t="s">
        <v>1</v>
      </c>
      <c r="B11" s="57" t="s">
        <v>233</v>
      </c>
      <c r="C11" s="57" t="s">
        <v>234</v>
      </c>
      <c r="D11" s="58" t="s">
        <v>235</v>
      </c>
      <c r="E11" s="66"/>
      <c r="F11" s="66"/>
      <c r="G11" s="59"/>
      <c r="H11" s="60"/>
      <c r="I11" s="67">
        <v>35</v>
      </c>
      <c r="J11" s="59">
        <v>4</v>
      </c>
      <c r="K11" s="61">
        <f t="shared" ref="K11" si="3">200*G11</f>
        <v>0</v>
      </c>
      <c r="L11" s="112">
        <f t="shared" ref="L11" si="4">E11+F11+(G11*H11*I11*J11)+K11</f>
        <v>0</v>
      </c>
      <c r="M11" s="80">
        <f t="shared" ref="M11" si="5">G11*H11*I11*J11+F11</f>
        <v>0</v>
      </c>
    </row>
    <row r="16" spans="1:13" x14ac:dyDescent="0.35">
      <c r="A16" s="12" t="s">
        <v>103</v>
      </c>
    </row>
    <row r="17" spans="1:26" s="64" customFormat="1" ht="43.5" x14ac:dyDescent="0.35">
      <c r="A17" s="63" t="s">
        <v>225</v>
      </c>
      <c r="B17" s="63" t="s">
        <v>226</v>
      </c>
      <c r="C17" s="63" t="s">
        <v>98</v>
      </c>
      <c r="D17" s="71" t="s">
        <v>227</v>
      </c>
      <c r="E17" s="71" t="s">
        <v>244</v>
      </c>
      <c r="F17" s="71" t="s">
        <v>245</v>
      </c>
      <c r="G17" s="71" t="s">
        <v>246</v>
      </c>
      <c r="H17" s="71" t="s">
        <v>247</v>
      </c>
      <c r="I17" s="71" t="s">
        <v>248</v>
      </c>
      <c r="J17" s="71" t="s">
        <v>249</v>
      </c>
      <c r="K17" s="71" t="s">
        <v>250</v>
      </c>
      <c r="L17" s="71" t="s">
        <v>251</v>
      </c>
      <c r="M17" s="71" t="s">
        <v>252</v>
      </c>
      <c r="N17" s="71" t="s">
        <v>248</v>
      </c>
      <c r="O17" s="71" t="s">
        <v>253</v>
      </c>
      <c r="P17" s="76" t="s">
        <v>254</v>
      </c>
      <c r="Q17" s="83" t="s">
        <v>255</v>
      </c>
      <c r="R17" s="71" t="s">
        <v>256</v>
      </c>
      <c r="S17" s="77" t="s">
        <v>257</v>
      </c>
    </row>
    <row r="18" spans="1:26" s="62" customFormat="1" x14ac:dyDescent="0.35">
      <c r="A18" s="57" t="s">
        <v>1</v>
      </c>
      <c r="B18" s="57" t="s">
        <v>233</v>
      </c>
      <c r="C18" s="57" t="s">
        <v>234</v>
      </c>
      <c r="D18" s="58" t="s">
        <v>235</v>
      </c>
      <c r="E18" s="72"/>
      <c r="F18" s="73">
        <v>0.4</v>
      </c>
      <c r="G18" s="74">
        <f t="shared" ref="G18" si="6">E18*F18</f>
        <v>0</v>
      </c>
      <c r="H18" s="75">
        <v>8</v>
      </c>
      <c r="I18" s="66">
        <v>100</v>
      </c>
      <c r="J18" s="108">
        <f t="shared" ref="J18" si="7">G18*H18*I18</f>
        <v>0</v>
      </c>
      <c r="K18" s="127">
        <v>0.6</v>
      </c>
      <c r="L18" s="109">
        <f t="shared" ref="L18" si="8">E18*K18</f>
        <v>0</v>
      </c>
      <c r="M18" s="60">
        <v>2</v>
      </c>
      <c r="N18" s="66"/>
      <c r="O18" s="108">
        <f t="shared" ref="O18" si="9">L18*M18*N18</f>
        <v>0</v>
      </c>
      <c r="P18" s="110"/>
      <c r="Q18" s="111">
        <f t="shared" ref="Q18" si="10">E18*40</f>
        <v>0</v>
      </c>
      <c r="R18" s="112">
        <f t="shared" ref="R18" si="11">J18+O18+P18+Q18</f>
        <v>0</v>
      </c>
      <c r="S18" s="80">
        <f t="shared" ref="S18" si="12">J18+O18</f>
        <v>0</v>
      </c>
      <c r="T18" s="118"/>
      <c r="X18"/>
      <c r="Y18" s="118"/>
      <c r="Z18" s="79"/>
    </row>
    <row r="20" spans="1:26" x14ac:dyDescent="0.35">
      <c r="B20" s="54"/>
    </row>
    <row r="21" spans="1:26" x14ac:dyDescent="0.35">
      <c r="A21" s="12" t="s">
        <v>258</v>
      </c>
      <c r="B21" s="54"/>
    </row>
    <row r="22" spans="1:26" x14ac:dyDescent="0.35">
      <c r="B22" s="54"/>
    </row>
    <row r="23" spans="1:26" x14ac:dyDescent="0.35">
      <c r="A23" s="12" t="s">
        <v>259</v>
      </c>
      <c r="B23" s="54"/>
    </row>
    <row r="24" spans="1:26" ht="15" thickBot="1" x14ac:dyDescent="0.4">
      <c r="B24" s="114" t="s">
        <v>260</v>
      </c>
    </row>
    <row r="25" spans="1:26" ht="15" thickTop="1" x14ac:dyDescent="0.35">
      <c r="A25" t="s">
        <v>261</v>
      </c>
      <c r="B25" s="54">
        <v>0</v>
      </c>
    </row>
    <row r="26" spans="1:26" x14ac:dyDescent="0.35">
      <c r="A26" t="s">
        <v>262</v>
      </c>
      <c r="B26" s="54"/>
      <c r="C26" s="53"/>
    </row>
    <row r="27" spans="1:26" x14ac:dyDescent="0.35">
      <c r="A27" t="s">
        <v>263</v>
      </c>
      <c r="B27" s="54"/>
    </row>
    <row r="28" spans="1:26" x14ac:dyDescent="0.35">
      <c r="A28" t="s">
        <v>0</v>
      </c>
      <c r="B28" s="54"/>
    </row>
    <row r="29" spans="1:26" x14ac:dyDescent="0.35">
      <c r="B29" s="54"/>
    </row>
    <row r="30" spans="1:26" x14ac:dyDescent="0.35">
      <c r="B30" s="53"/>
    </row>
    <row r="31" spans="1:26" x14ac:dyDescent="0.35">
      <c r="B31" s="9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CF13-15EB-4912-B08F-9EA07410BA1C}">
  <sheetPr>
    <tabColor theme="5" tint="0.59999389629810485"/>
  </sheetPr>
  <dimension ref="A1:G21"/>
  <sheetViews>
    <sheetView workbookViewId="0">
      <selection activeCell="D5" sqref="D5"/>
    </sheetView>
  </sheetViews>
  <sheetFormatPr defaultRowHeight="14.5" x14ac:dyDescent="0.35"/>
  <cols>
    <col min="1" max="1" width="37.1796875" bestFit="1" customWidth="1"/>
    <col min="2" max="2" width="12.1796875" style="28" customWidth="1"/>
    <col min="3" max="3" width="9.1796875" bestFit="1" customWidth="1"/>
    <col min="4" max="4" width="10.453125" customWidth="1"/>
    <col min="7" max="7" width="14.453125" customWidth="1"/>
  </cols>
  <sheetData>
    <row r="1" spans="1:7" ht="18.5" x14ac:dyDescent="0.45">
      <c r="A1" s="247" t="s">
        <v>392</v>
      </c>
      <c r="B1" s="247"/>
      <c r="C1" s="247"/>
      <c r="D1" s="247"/>
      <c r="G1" s="28"/>
    </row>
    <row r="2" spans="1:7" x14ac:dyDescent="0.35">
      <c r="B2" t="s">
        <v>393</v>
      </c>
      <c r="C2" t="s">
        <v>394</v>
      </c>
      <c r="D2" t="s">
        <v>395</v>
      </c>
      <c r="G2" s="28"/>
    </row>
    <row r="3" spans="1:7" x14ac:dyDescent="0.35">
      <c r="B3"/>
      <c r="C3" s="28"/>
    </row>
    <row r="4" spans="1:7" x14ac:dyDescent="0.35">
      <c r="A4" t="s">
        <v>264</v>
      </c>
      <c r="B4"/>
      <c r="C4" s="28">
        <v>2054</v>
      </c>
      <c r="D4" s="91">
        <f>C4*12+3915</f>
        <v>28563</v>
      </c>
    </row>
    <row r="5" spans="1:7" x14ac:dyDescent="0.35">
      <c r="B5"/>
      <c r="C5" s="28"/>
    </row>
    <row r="6" spans="1:7" x14ac:dyDescent="0.35">
      <c r="A6" s="248" t="s">
        <v>265</v>
      </c>
      <c r="B6"/>
      <c r="C6" s="115">
        <v>1706</v>
      </c>
      <c r="D6" s="91">
        <f>C6*12</f>
        <v>20472</v>
      </c>
      <c r="E6" s="90" t="s">
        <v>400</v>
      </c>
    </row>
    <row r="7" spans="1:7" x14ac:dyDescent="0.35">
      <c r="B7"/>
      <c r="C7" s="28"/>
    </row>
    <row r="8" spans="1:7" x14ac:dyDescent="0.35">
      <c r="A8" t="s">
        <v>266</v>
      </c>
      <c r="B8"/>
      <c r="C8" s="28"/>
    </row>
    <row r="9" spans="1:7" x14ac:dyDescent="0.35">
      <c r="B9"/>
      <c r="C9" s="28"/>
    </row>
    <row r="10" spans="1:7" x14ac:dyDescent="0.35">
      <c r="A10" t="s">
        <v>267</v>
      </c>
      <c r="B10"/>
      <c r="C10" s="28"/>
    </row>
    <row r="11" spans="1:7" x14ac:dyDescent="0.35">
      <c r="B11"/>
      <c r="C11" s="28"/>
    </row>
    <row r="12" spans="1:7" x14ac:dyDescent="0.35">
      <c r="A12" t="s">
        <v>268</v>
      </c>
      <c r="B12"/>
      <c r="C12" s="28"/>
    </row>
    <row r="13" spans="1:7" x14ac:dyDescent="0.35">
      <c r="B13"/>
      <c r="C13" s="28"/>
      <c r="G13" s="135"/>
    </row>
    <row r="14" spans="1:7" x14ac:dyDescent="0.35">
      <c r="A14" t="s">
        <v>269</v>
      </c>
      <c r="B14"/>
      <c r="C14" s="28"/>
      <c r="F14" s="135"/>
      <c r="G14" s="136"/>
    </row>
    <row r="15" spans="1:7" x14ac:dyDescent="0.35">
      <c r="B15"/>
      <c r="C15" s="28"/>
    </row>
    <row r="16" spans="1:7" x14ac:dyDescent="0.35">
      <c r="A16" t="s">
        <v>270</v>
      </c>
      <c r="B16"/>
      <c r="C16" s="28"/>
    </row>
    <row r="17" spans="1:4" x14ac:dyDescent="0.35">
      <c r="B17"/>
      <c r="C17" s="28"/>
    </row>
    <row r="18" spans="1:4" x14ac:dyDescent="0.35">
      <c r="A18" s="105" t="s">
        <v>271</v>
      </c>
      <c r="B18" s="105"/>
      <c r="C18" s="106">
        <f>C4</f>
        <v>2054</v>
      </c>
      <c r="D18" s="106">
        <f>D4</f>
        <v>28563</v>
      </c>
    </row>
    <row r="19" spans="1:4" x14ac:dyDescent="0.35">
      <c r="A19" t="s">
        <v>272</v>
      </c>
      <c r="B19"/>
      <c r="C19" s="28">
        <f>C6+C8+C10+C12+C14+C16</f>
        <v>1706</v>
      </c>
      <c r="D19" s="28">
        <f>D6+D8+D10+D12+D14+D16</f>
        <v>20472</v>
      </c>
    </row>
    <row r="20" spans="1:4" ht="15" thickBot="1" x14ac:dyDescent="0.4">
      <c r="A20" s="56" t="s">
        <v>273</v>
      </c>
      <c r="B20" s="56"/>
      <c r="C20" s="107">
        <f>C18+C19</f>
        <v>3760</v>
      </c>
      <c r="D20" s="107">
        <f>D18+D19</f>
        <v>49035</v>
      </c>
    </row>
    <row r="21" spans="1:4" ht="15" thickTop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6E2D-ED75-499B-9EF8-157854477AB9}">
  <dimension ref="A1:B23"/>
  <sheetViews>
    <sheetView workbookViewId="0">
      <selection activeCell="G13" sqref="G13"/>
    </sheetView>
  </sheetViews>
  <sheetFormatPr defaultRowHeight="14.5" x14ac:dyDescent="0.35"/>
  <cols>
    <col min="1" max="1" width="34.453125" bestFit="1" customWidth="1"/>
    <col min="2" max="2" width="12.81640625" customWidth="1"/>
  </cols>
  <sheetData>
    <row r="1" spans="1:2" x14ac:dyDescent="0.35">
      <c r="B1" t="s">
        <v>1</v>
      </c>
    </row>
    <row r="3" spans="1:2" x14ac:dyDescent="0.35">
      <c r="B3" s="84"/>
    </row>
    <row r="4" spans="1:2" x14ac:dyDescent="0.35">
      <c r="B4" s="84"/>
    </row>
    <row r="5" spans="1:2" x14ac:dyDescent="0.35">
      <c r="A5" s="85"/>
      <c r="B5" s="88"/>
    </row>
    <row r="6" spans="1:2" ht="16" x14ac:dyDescent="0.4">
      <c r="A6" s="86" t="s">
        <v>274</v>
      </c>
      <c r="B6" s="89"/>
    </row>
    <row r="8" spans="1:2" ht="16" x14ac:dyDescent="0.4">
      <c r="A8" s="52" t="s">
        <v>275</v>
      </c>
      <c r="B8" s="28"/>
    </row>
    <row r="10" spans="1:2" x14ac:dyDescent="0.35">
      <c r="A10" t="s">
        <v>276</v>
      </c>
      <c r="B10" s="28"/>
    </row>
    <row r="12" spans="1:2" x14ac:dyDescent="0.35">
      <c r="A12" t="s">
        <v>277</v>
      </c>
      <c r="B12" s="81"/>
    </row>
    <row r="14" spans="1:2" x14ac:dyDescent="0.35">
      <c r="A14" t="s">
        <v>278</v>
      </c>
      <c r="B14" s="28"/>
    </row>
    <row r="16" spans="1:2" x14ac:dyDescent="0.35">
      <c r="A16" s="85"/>
      <c r="B16" s="88">
        <v>1.6679447852760737E-2</v>
      </c>
    </row>
    <row r="17" spans="1:2" x14ac:dyDescent="0.35">
      <c r="A17" s="87" t="s">
        <v>279</v>
      </c>
      <c r="B17" s="89"/>
    </row>
    <row r="19" spans="1:2" x14ac:dyDescent="0.35">
      <c r="A19" s="85"/>
      <c r="B19" s="88">
        <v>1.6679447852760737E-2</v>
      </c>
    </row>
    <row r="20" spans="1:2" x14ac:dyDescent="0.35">
      <c r="A20" s="87" t="s">
        <v>280</v>
      </c>
      <c r="B20" s="89"/>
    </row>
    <row r="21" spans="1:2" x14ac:dyDescent="0.35">
      <c r="B21" s="91"/>
    </row>
    <row r="22" spans="1:2" x14ac:dyDescent="0.35">
      <c r="A22" t="s">
        <v>281</v>
      </c>
      <c r="B22" s="91">
        <v>0</v>
      </c>
    </row>
    <row r="23" spans="1:2" x14ac:dyDescent="0.35">
      <c r="A23" t="s">
        <v>0</v>
      </c>
      <c r="B23" s="91">
        <f>B6+B8+B10+B12+B14+B17+B20+B22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5D00-41AC-45BE-B5AC-0179F338C238}">
  <dimension ref="A1:I91"/>
  <sheetViews>
    <sheetView zoomScale="70" zoomScaleNormal="70" workbookViewId="0">
      <selection activeCell="I7" sqref="I7"/>
    </sheetView>
  </sheetViews>
  <sheetFormatPr defaultColWidth="8.54296875" defaultRowHeight="14.5" x14ac:dyDescent="0.35"/>
  <cols>
    <col min="1" max="1" width="23.453125" customWidth="1"/>
    <col min="2" max="2" width="52.453125" customWidth="1"/>
    <col min="3" max="3" width="28.54296875" customWidth="1"/>
    <col min="4" max="4" width="21.81640625" bestFit="1" customWidth="1"/>
    <col min="5" max="5" width="28.453125" customWidth="1"/>
    <col min="6" max="6" width="66.453125" customWidth="1"/>
    <col min="7" max="7" width="17" customWidth="1"/>
    <col min="9" max="9" width="19.453125" customWidth="1"/>
    <col min="10" max="10" width="50" customWidth="1"/>
  </cols>
  <sheetData>
    <row r="1" spans="1:9" ht="39" customHeight="1" x14ac:dyDescent="0.6">
      <c r="A1" s="317"/>
      <c r="B1" s="317"/>
      <c r="C1" s="317"/>
      <c r="D1" s="317"/>
      <c r="E1" s="317"/>
      <c r="F1" s="317"/>
    </row>
    <row r="2" spans="1:9" ht="21" customHeight="1" x14ac:dyDescent="0.35">
      <c r="A2" t="s">
        <v>282</v>
      </c>
    </row>
    <row r="3" spans="1:9" ht="42.65" customHeight="1" x14ac:dyDescent="0.35">
      <c r="A3" t="e">
        <f>250/#REF!</f>
        <v>#REF!</v>
      </c>
    </row>
    <row r="4" spans="1:9" ht="27.65" customHeight="1" x14ac:dyDescent="0.35"/>
    <row r="5" spans="1:9" ht="21" x14ac:dyDescent="0.5">
      <c r="A5" s="13"/>
      <c r="B5" s="13"/>
      <c r="C5" s="25" t="s">
        <v>283</v>
      </c>
      <c r="D5" s="25" t="s">
        <v>284</v>
      </c>
      <c r="E5" s="25"/>
      <c r="F5" s="25" t="s">
        <v>91</v>
      </c>
    </row>
    <row r="6" spans="1:9" ht="27.65" customHeight="1" x14ac:dyDescent="0.4">
      <c r="B6" s="26" t="s">
        <v>15</v>
      </c>
      <c r="C6" s="27"/>
      <c r="D6" s="27"/>
      <c r="E6" s="27"/>
      <c r="F6" s="27"/>
      <c r="I6" s="28"/>
    </row>
    <row r="7" spans="1:9" ht="27.65" customHeight="1" x14ac:dyDescent="0.4">
      <c r="B7" s="26" t="s">
        <v>19</v>
      </c>
      <c r="C7" s="27"/>
      <c r="D7" s="27"/>
      <c r="E7" s="27"/>
      <c r="F7" s="27"/>
    </row>
    <row r="8" spans="1:9" ht="27.65" customHeight="1" x14ac:dyDescent="0.4">
      <c r="B8" s="26" t="s">
        <v>285</v>
      </c>
      <c r="C8" s="27"/>
      <c r="D8" s="27"/>
      <c r="E8" s="27"/>
      <c r="F8" s="27"/>
    </row>
    <row r="9" spans="1:9" ht="27.65" customHeight="1" x14ac:dyDescent="0.4">
      <c r="B9" s="26" t="s">
        <v>5</v>
      </c>
      <c r="C9" s="27"/>
      <c r="D9" s="27"/>
      <c r="E9" s="27"/>
      <c r="F9" s="27"/>
    </row>
    <row r="10" spans="1:9" ht="27.65" customHeight="1" x14ac:dyDescent="0.4">
      <c r="B10" s="26" t="s">
        <v>17</v>
      </c>
      <c r="C10" s="27"/>
      <c r="D10" s="27"/>
      <c r="E10" s="27"/>
      <c r="F10" s="27"/>
    </row>
    <row r="11" spans="1:9" ht="27.65" customHeight="1" x14ac:dyDescent="0.4">
      <c r="B11" s="26" t="s">
        <v>18</v>
      </c>
      <c r="C11" s="27"/>
      <c r="D11" s="27"/>
      <c r="E11" s="27"/>
      <c r="F11" s="27"/>
    </row>
    <row r="12" spans="1:9" ht="27.65" customHeight="1" x14ac:dyDescent="0.4">
      <c r="B12" s="26" t="s">
        <v>286</v>
      </c>
      <c r="C12" s="27"/>
      <c r="D12" s="27"/>
      <c r="E12" s="27"/>
      <c r="F12" s="27"/>
    </row>
    <row r="13" spans="1:9" ht="27.65" customHeight="1" x14ac:dyDescent="0.4">
      <c r="B13" s="29" t="s">
        <v>287</v>
      </c>
      <c r="C13" s="27"/>
      <c r="D13" s="27"/>
      <c r="E13" s="27"/>
      <c r="F13" s="27"/>
    </row>
    <row r="14" spans="1:9" ht="27.65" customHeight="1" x14ac:dyDescent="0.4">
      <c r="B14" s="26" t="s">
        <v>288</v>
      </c>
      <c r="C14" s="27"/>
      <c r="D14" s="27"/>
      <c r="E14" s="27"/>
      <c r="F14" s="27"/>
    </row>
    <row r="15" spans="1:9" ht="27.65" customHeight="1" x14ac:dyDescent="0.55000000000000004">
      <c r="B15" s="30" t="s">
        <v>289</v>
      </c>
      <c r="C15" s="27">
        <f>SUM(C6:C14)</f>
        <v>0</v>
      </c>
      <c r="D15" s="31">
        <f>SUM(D6:D14)</f>
        <v>0</v>
      </c>
      <c r="E15" s="27"/>
      <c r="F15" s="27"/>
    </row>
    <row r="16" spans="1:9" ht="27.65" customHeight="1" x14ac:dyDescent="0.5">
      <c r="A16" s="13"/>
      <c r="B16" s="13"/>
      <c r="C16" s="13"/>
      <c r="D16" s="13"/>
      <c r="E16" s="13"/>
      <c r="F16" s="13"/>
    </row>
    <row r="17" spans="1:6" ht="27.65" customHeight="1" x14ac:dyDescent="0.4">
      <c r="B17" s="26" t="s">
        <v>290</v>
      </c>
      <c r="C17" s="27"/>
      <c r="D17" s="27"/>
      <c r="E17" s="27"/>
      <c r="F17" s="27"/>
    </row>
    <row r="18" spans="1:6" ht="27.65" customHeight="1" x14ac:dyDescent="0.4">
      <c r="B18" s="26" t="s">
        <v>11</v>
      </c>
      <c r="C18" s="27"/>
      <c r="D18" s="27"/>
      <c r="E18" s="27"/>
      <c r="F18" s="27"/>
    </row>
    <row r="19" spans="1:6" ht="27.65" customHeight="1" x14ac:dyDescent="0.4">
      <c r="B19" s="26" t="s">
        <v>12</v>
      </c>
      <c r="C19" s="27"/>
      <c r="D19" s="27"/>
      <c r="E19" s="27"/>
      <c r="F19" s="27"/>
    </row>
    <row r="20" spans="1:6" ht="27.65" customHeight="1" x14ac:dyDescent="0.55000000000000004">
      <c r="B20" s="30" t="s">
        <v>291</v>
      </c>
      <c r="C20" s="27">
        <f>SUM(C17:C19)</f>
        <v>0</v>
      </c>
      <c r="D20" s="31">
        <f>SUM(D17:D19)</f>
        <v>0</v>
      </c>
      <c r="E20" s="27"/>
      <c r="F20" s="27"/>
    </row>
    <row r="21" spans="1:6" ht="27.65" customHeight="1" x14ac:dyDescent="0.5">
      <c r="A21" s="13"/>
      <c r="B21" s="13"/>
      <c r="C21" s="13"/>
      <c r="D21" s="13"/>
      <c r="E21" s="13"/>
      <c r="F21" s="13"/>
    </row>
    <row r="22" spans="1:6" ht="27.65" customHeight="1" x14ac:dyDescent="0.4">
      <c r="B22" s="32" t="s">
        <v>6</v>
      </c>
      <c r="C22" s="27"/>
      <c r="D22" s="27"/>
      <c r="E22" s="27"/>
      <c r="F22" s="27"/>
    </row>
    <row r="23" spans="1:6" ht="27.65" customHeight="1" x14ac:dyDescent="0.4">
      <c r="B23" s="32" t="s">
        <v>23</v>
      </c>
      <c r="C23" s="27"/>
      <c r="D23" s="27"/>
      <c r="E23" s="27"/>
      <c r="F23" s="27"/>
    </row>
    <row r="24" spans="1:6" ht="27.65" customHeight="1" x14ac:dyDescent="0.4">
      <c r="B24" s="32" t="s">
        <v>24</v>
      </c>
      <c r="C24" s="27"/>
      <c r="D24" s="27"/>
      <c r="E24" s="27"/>
      <c r="F24" s="27"/>
    </row>
    <row r="25" spans="1:6" ht="27.65" customHeight="1" x14ac:dyDescent="0.4">
      <c r="B25" s="32" t="s">
        <v>25</v>
      </c>
      <c r="C25" s="27"/>
      <c r="D25" s="27"/>
      <c r="E25" s="27"/>
      <c r="F25" s="27"/>
    </row>
    <row r="26" spans="1:6" ht="27.65" customHeight="1" x14ac:dyDescent="0.4">
      <c r="B26" s="32" t="s">
        <v>26</v>
      </c>
      <c r="C26" s="27"/>
      <c r="D26" s="27"/>
      <c r="E26" s="27"/>
      <c r="F26" s="27"/>
    </row>
    <row r="27" spans="1:6" ht="27.65" customHeight="1" x14ac:dyDescent="0.4">
      <c r="B27" s="32" t="s">
        <v>27</v>
      </c>
      <c r="C27" s="27"/>
      <c r="D27" s="27"/>
      <c r="E27" s="27"/>
      <c r="F27" s="27"/>
    </row>
    <row r="28" spans="1:6" ht="27.65" customHeight="1" x14ac:dyDescent="0.4">
      <c r="B28" s="32" t="s">
        <v>28</v>
      </c>
      <c r="C28" s="27"/>
      <c r="D28" s="27"/>
      <c r="E28" s="27"/>
      <c r="F28" s="27"/>
    </row>
    <row r="29" spans="1:6" ht="27.65" customHeight="1" x14ac:dyDescent="0.4">
      <c r="B29" s="32" t="s">
        <v>29</v>
      </c>
      <c r="C29" s="27"/>
      <c r="D29" s="27"/>
      <c r="E29" s="27"/>
      <c r="F29" s="27"/>
    </row>
    <row r="30" spans="1:6" ht="27.65" customHeight="1" x14ac:dyDescent="0.55000000000000004">
      <c r="B30" s="30" t="s">
        <v>292</v>
      </c>
      <c r="C30" s="33">
        <f>SUM(C22:C29)</f>
        <v>0</v>
      </c>
      <c r="D30" s="33">
        <f>SUM(D22:D29)</f>
        <v>0</v>
      </c>
      <c r="E30" s="34"/>
      <c r="F30" s="34"/>
    </row>
    <row r="31" spans="1:6" ht="27.65" customHeight="1" x14ac:dyDescent="0.5">
      <c r="A31" s="13"/>
      <c r="B31" s="13" t="s">
        <v>293</v>
      </c>
      <c r="C31" s="35">
        <f>C30+C20++C15</f>
        <v>0</v>
      </c>
      <c r="D31" s="35">
        <f>D30+D20+D15</f>
        <v>0</v>
      </c>
      <c r="E31" s="13"/>
      <c r="F31" s="13"/>
    </row>
    <row r="32" spans="1:6" ht="27.65" customHeight="1" x14ac:dyDescent="0.35"/>
    <row r="33" spans="1:7" ht="21" x14ac:dyDescent="0.35">
      <c r="C33" s="36"/>
      <c r="E33" s="36"/>
    </row>
    <row r="34" spans="1:7" ht="21" x14ac:dyDescent="0.5">
      <c r="A34" s="37" t="s">
        <v>294</v>
      </c>
      <c r="B34" s="13" t="s">
        <v>295</v>
      </c>
      <c r="C34" s="25" t="s">
        <v>296</v>
      </c>
      <c r="D34" s="25" t="s">
        <v>284</v>
      </c>
      <c r="E34" s="25" t="s">
        <v>92</v>
      </c>
      <c r="F34" s="25" t="s">
        <v>91</v>
      </c>
    </row>
    <row r="35" spans="1:7" ht="18.5" x14ac:dyDescent="0.45">
      <c r="A35" s="39" t="s">
        <v>297</v>
      </c>
      <c r="B35" s="14" t="s">
        <v>297</v>
      </c>
      <c r="C35" s="40"/>
      <c r="D35" s="44"/>
      <c r="E35" s="45"/>
      <c r="F35" s="43"/>
    </row>
    <row r="36" spans="1:7" ht="18.5" x14ac:dyDescent="0.45">
      <c r="A36" s="38"/>
      <c r="B36" s="14"/>
      <c r="C36" s="40"/>
      <c r="D36" s="41"/>
      <c r="E36" s="42"/>
      <c r="F36" s="43"/>
    </row>
    <row r="37" spans="1:7" ht="18.5" x14ac:dyDescent="0.45">
      <c r="A37" s="38"/>
      <c r="B37" s="14"/>
      <c r="C37" s="40"/>
      <c r="D37" s="41"/>
      <c r="E37" s="42"/>
      <c r="F37" s="43"/>
    </row>
    <row r="38" spans="1:7" ht="18.5" x14ac:dyDescent="0.45">
      <c r="B38" s="14" t="s">
        <v>59</v>
      </c>
      <c r="C38" s="40"/>
      <c r="D38" s="41"/>
      <c r="E38" s="42"/>
      <c r="F38" s="43"/>
    </row>
    <row r="39" spans="1:7" ht="18.5" x14ac:dyDescent="0.45">
      <c r="A39" t="s">
        <v>298</v>
      </c>
      <c r="B39" s="15" t="s">
        <v>299</v>
      </c>
      <c r="C39" s="40"/>
      <c r="D39" s="41"/>
      <c r="E39" s="42"/>
      <c r="F39" s="43"/>
    </row>
    <row r="40" spans="1:7" ht="18.5" x14ac:dyDescent="0.45">
      <c r="A40" t="s">
        <v>298</v>
      </c>
      <c r="B40" s="15" t="s">
        <v>300</v>
      </c>
      <c r="C40" s="40"/>
      <c r="D40" s="41"/>
      <c r="E40" s="42"/>
      <c r="F40" s="43"/>
    </row>
    <row r="41" spans="1:7" ht="18.5" x14ac:dyDescent="0.45">
      <c r="A41" t="s">
        <v>59</v>
      </c>
      <c r="B41" s="15" t="s">
        <v>301</v>
      </c>
      <c r="C41" s="40">
        <f>1515/8*0</f>
        <v>0</v>
      </c>
      <c r="D41" s="41"/>
      <c r="E41" s="42"/>
      <c r="F41" s="43"/>
    </row>
    <row r="42" spans="1:7" ht="18.5" x14ac:dyDescent="0.45">
      <c r="A42" t="s">
        <v>7</v>
      </c>
      <c r="B42" s="15" t="s">
        <v>302</v>
      </c>
      <c r="C42" s="40"/>
      <c r="D42" s="41"/>
      <c r="E42" s="42"/>
      <c r="F42" s="43"/>
    </row>
    <row r="43" spans="1:7" ht="18.5" x14ac:dyDescent="0.45">
      <c r="A43" t="s">
        <v>59</v>
      </c>
      <c r="B43" s="15" t="s">
        <v>303</v>
      </c>
      <c r="C43" s="40"/>
      <c r="D43" s="41"/>
      <c r="E43" s="42"/>
      <c r="F43" s="43"/>
    </row>
    <row r="44" spans="1:7" ht="18.5" x14ac:dyDescent="0.45">
      <c r="A44" t="s">
        <v>59</v>
      </c>
      <c r="B44" t="s">
        <v>59</v>
      </c>
      <c r="C44" s="40"/>
      <c r="D44" s="33"/>
      <c r="E44" s="42"/>
      <c r="F44" s="43"/>
      <c r="G44" s="33">
        <f>282+179+1410</f>
        <v>1871</v>
      </c>
    </row>
    <row r="45" spans="1:7" ht="18.5" x14ac:dyDescent="0.45">
      <c r="B45" s="15"/>
      <c r="C45" s="40"/>
      <c r="D45" s="41"/>
      <c r="E45" s="42"/>
      <c r="F45" s="43"/>
    </row>
    <row r="46" spans="1:7" ht="18.5" x14ac:dyDescent="0.45">
      <c r="B46" s="15"/>
      <c r="C46" s="40"/>
      <c r="D46" s="41"/>
      <c r="E46" s="42"/>
      <c r="F46" s="43"/>
    </row>
    <row r="47" spans="1:7" ht="18.5" x14ac:dyDescent="0.45">
      <c r="B47" s="14" t="s">
        <v>304</v>
      </c>
      <c r="C47" s="40"/>
      <c r="D47" s="41"/>
      <c r="E47" s="42"/>
      <c r="F47" s="43"/>
    </row>
    <row r="48" spans="1:7" ht="18.5" x14ac:dyDescent="0.45">
      <c r="B48" s="15" t="s">
        <v>305</v>
      </c>
      <c r="C48" s="40"/>
      <c r="D48" s="41"/>
      <c r="E48" s="42"/>
      <c r="F48" s="43"/>
      <c r="G48" s="28"/>
    </row>
    <row r="49" spans="1:6" ht="18.5" x14ac:dyDescent="0.45">
      <c r="B49" s="15" t="s">
        <v>306</v>
      </c>
      <c r="C49" s="40"/>
      <c r="D49" s="41"/>
      <c r="E49" s="42"/>
      <c r="F49" s="43"/>
    </row>
    <row r="50" spans="1:6" ht="18.5" x14ac:dyDescent="0.45">
      <c r="B50" s="15"/>
      <c r="C50" s="27"/>
      <c r="D50" s="41"/>
      <c r="E50" s="42"/>
      <c r="F50" s="43"/>
    </row>
    <row r="51" spans="1:6" ht="18.5" x14ac:dyDescent="0.45">
      <c r="C51" s="27"/>
      <c r="D51" s="41"/>
      <c r="E51" s="42"/>
      <c r="F51" s="43"/>
    </row>
    <row r="52" spans="1:6" ht="18.5" x14ac:dyDescent="0.45">
      <c r="C52" s="27"/>
      <c r="D52" s="41"/>
      <c r="E52" s="42"/>
      <c r="F52" s="43"/>
    </row>
    <row r="53" spans="1:6" ht="18.5" x14ac:dyDescent="0.45">
      <c r="C53" s="27"/>
      <c r="D53" s="41"/>
      <c r="E53" s="42"/>
      <c r="F53" s="43"/>
    </row>
    <row r="54" spans="1:6" ht="17" x14ac:dyDescent="0.4">
      <c r="A54" t="s">
        <v>47</v>
      </c>
      <c r="B54" s="15" t="s">
        <v>307</v>
      </c>
      <c r="C54" s="27"/>
      <c r="D54" s="33">
        <f>C54*11</f>
        <v>0</v>
      </c>
      <c r="E54" s="42"/>
      <c r="F54" s="43"/>
    </row>
    <row r="55" spans="1:6" ht="18.5" x14ac:dyDescent="0.45">
      <c r="A55" t="s">
        <v>308</v>
      </c>
      <c r="B55" s="15" t="s">
        <v>309</v>
      </c>
      <c r="C55" s="27"/>
      <c r="D55" s="41">
        <f>C55*12</f>
        <v>0</v>
      </c>
      <c r="E55" s="42"/>
      <c r="F55" s="43"/>
    </row>
    <row r="56" spans="1:6" ht="17" x14ac:dyDescent="0.4">
      <c r="A56" t="s">
        <v>47</v>
      </c>
      <c r="B56" s="15" t="s">
        <v>310</v>
      </c>
      <c r="C56" s="27"/>
      <c r="D56" s="33">
        <f>C56*12</f>
        <v>0</v>
      </c>
      <c r="E56" s="42"/>
      <c r="F56" s="43"/>
    </row>
    <row r="57" spans="1:6" ht="18.5" x14ac:dyDescent="0.45">
      <c r="A57" t="s">
        <v>61</v>
      </c>
      <c r="B57" s="92" t="s">
        <v>311</v>
      </c>
      <c r="C57" s="93"/>
      <c r="D57" s="94">
        <f>C57*12</f>
        <v>0</v>
      </c>
      <c r="E57" s="95"/>
      <c r="F57" s="96"/>
    </row>
    <row r="58" spans="1:6" ht="18.5" x14ac:dyDescent="0.45">
      <c r="A58" t="s">
        <v>61</v>
      </c>
      <c r="B58" s="15" t="s">
        <v>312</v>
      </c>
      <c r="C58" s="27"/>
      <c r="D58" s="41"/>
      <c r="E58" s="42"/>
      <c r="F58" s="43"/>
    </row>
    <row r="59" spans="1:6" ht="18.5" x14ac:dyDescent="0.45">
      <c r="A59" t="s">
        <v>61</v>
      </c>
      <c r="B59" s="15" t="s">
        <v>313</v>
      </c>
      <c r="C59" s="40"/>
      <c r="D59" s="41"/>
      <c r="E59" s="42"/>
      <c r="F59" s="43"/>
    </row>
    <row r="60" spans="1:6" ht="18.5" x14ac:dyDescent="0.45">
      <c r="A60" t="s">
        <v>61</v>
      </c>
      <c r="B60" s="15" t="s">
        <v>314</v>
      </c>
      <c r="C60" s="27"/>
      <c r="D60" s="41">
        <v>0</v>
      </c>
      <c r="E60" s="42"/>
      <c r="F60" s="43"/>
    </row>
    <row r="61" spans="1:6" ht="18.5" x14ac:dyDescent="0.45">
      <c r="A61" t="s">
        <v>61</v>
      </c>
      <c r="B61" s="15" t="s">
        <v>315</v>
      </c>
      <c r="C61" s="40"/>
      <c r="D61" s="41"/>
      <c r="E61" s="42"/>
      <c r="F61" s="43"/>
    </row>
    <row r="62" spans="1:6" ht="17" x14ac:dyDescent="0.4">
      <c r="A62" t="s">
        <v>61</v>
      </c>
      <c r="B62" s="92" t="s">
        <v>316</v>
      </c>
      <c r="C62" s="130"/>
      <c r="D62" s="99">
        <f>C62*12</f>
        <v>0</v>
      </c>
      <c r="E62" s="95"/>
      <c r="F62" s="120"/>
    </row>
    <row r="63" spans="1:6" ht="17" x14ac:dyDescent="0.4">
      <c r="A63" t="s">
        <v>61</v>
      </c>
      <c r="B63" s="92" t="s">
        <v>317</v>
      </c>
      <c r="C63" s="134"/>
      <c r="D63" s="99">
        <f>C63*12</f>
        <v>0</v>
      </c>
      <c r="E63" s="95"/>
      <c r="F63" s="120"/>
    </row>
    <row r="64" spans="1:6" ht="18.5" x14ac:dyDescent="0.45">
      <c r="A64" t="s">
        <v>61</v>
      </c>
      <c r="B64" s="15" t="s">
        <v>318</v>
      </c>
      <c r="C64" s="40"/>
      <c r="D64" s="41"/>
      <c r="E64" s="42"/>
      <c r="F64" s="126"/>
    </row>
    <row r="65" spans="1:6" ht="18.5" x14ac:dyDescent="0.45">
      <c r="A65" t="s">
        <v>61</v>
      </c>
      <c r="B65" s="15" t="s">
        <v>319</v>
      </c>
      <c r="C65" s="40"/>
      <c r="D65" s="41"/>
      <c r="E65" s="42"/>
      <c r="F65" s="126"/>
    </row>
    <row r="66" spans="1:6" ht="18.5" x14ac:dyDescent="0.45">
      <c r="A66" t="s">
        <v>320</v>
      </c>
      <c r="B66" s="46" t="s">
        <v>321</v>
      </c>
      <c r="C66" s="40"/>
      <c r="D66" s="41"/>
      <c r="E66" s="42"/>
      <c r="F66" s="43"/>
    </row>
    <row r="67" spans="1:6" ht="18.5" x14ac:dyDescent="0.45">
      <c r="A67" t="s">
        <v>320</v>
      </c>
      <c r="B67" s="46" t="s">
        <v>322</v>
      </c>
      <c r="C67" s="40"/>
      <c r="D67" s="41"/>
      <c r="E67" s="42"/>
      <c r="F67" s="43"/>
    </row>
    <row r="68" spans="1:6" ht="18.5" x14ac:dyDescent="0.45">
      <c r="B68" s="15"/>
      <c r="C68" s="40"/>
      <c r="D68" s="41"/>
      <c r="E68" s="42"/>
      <c r="F68" s="43"/>
    </row>
    <row r="69" spans="1:6" ht="18.5" x14ac:dyDescent="0.45">
      <c r="A69" t="s">
        <v>60</v>
      </c>
      <c r="B69" s="14" t="s">
        <v>60</v>
      </c>
      <c r="C69" s="40"/>
      <c r="D69" s="41"/>
      <c r="E69" s="42"/>
      <c r="F69" s="43"/>
    </row>
    <row r="70" spans="1:6" ht="18.5" x14ac:dyDescent="0.45">
      <c r="A70" t="s">
        <v>57</v>
      </c>
      <c r="B70" s="14" t="s">
        <v>57</v>
      </c>
      <c r="C70" s="40"/>
      <c r="D70" s="41"/>
      <c r="E70" s="42"/>
      <c r="F70" s="43"/>
    </row>
    <row r="71" spans="1:6" ht="18.5" x14ac:dyDescent="0.45">
      <c r="A71" t="s">
        <v>58</v>
      </c>
      <c r="B71" s="14" t="s">
        <v>58</v>
      </c>
      <c r="C71" s="27"/>
      <c r="D71" s="41">
        <f>C71*12</f>
        <v>0</v>
      </c>
      <c r="E71" s="42"/>
      <c r="F71" s="43"/>
    </row>
    <row r="72" spans="1:6" ht="18.5" x14ac:dyDescent="0.45">
      <c r="A72" t="s">
        <v>58</v>
      </c>
      <c r="B72" s="14" t="s">
        <v>323</v>
      </c>
      <c r="C72" s="40"/>
      <c r="D72" s="41"/>
      <c r="E72" s="42"/>
      <c r="F72" s="43"/>
    </row>
    <row r="73" spans="1:6" ht="18.5" x14ac:dyDescent="0.45">
      <c r="B73" s="14"/>
      <c r="C73" s="40"/>
      <c r="D73" s="41"/>
      <c r="E73" s="42"/>
      <c r="F73" s="43"/>
    </row>
    <row r="74" spans="1:6" ht="18.5" x14ac:dyDescent="0.45">
      <c r="B74" s="14" t="s">
        <v>324</v>
      </c>
      <c r="C74" s="40"/>
      <c r="D74" s="41"/>
      <c r="E74" s="42"/>
      <c r="F74" s="43"/>
    </row>
    <row r="75" spans="1:6" ht="18.5" x14ac:dyDescent="0.45">
      <c r="B75" s="15"/>
      <c r="C75" s="40"/>
      <c r="D75" s="41"/>
      <c r="E75" s="42"/>
      <c r="F75" s="43"/>
    </row>
    <row r="76" spans="1:6" ht="18.5" x14ac:dyDescent="0.45">
      <c r="A76" t="s">
        <v>325</v>
      </c>
      <c r="B76" s="15" t="s">
        <v>55</v>
      </c>
      <c r="C76" s="40"/>
      <c r="D76" s="41">
        <f>C76*12</f>
        <v>0</v>
      </c>
      <c r="E76" s="42"/>
      <c r="F76" s="43"/>
    </row>
    <row r="77" spans="1:6" ht="18.5" x14ac:dyDescent="0.45">
      <c r="A77" t="s">
        <v>325</v>
      </c>
      <c r="B77" s="15" t="s">
        <v>56</v>
      </c>
      <c r="C77" s="40"/>
      <c r="D77" s="41"/>
      <c r="E77" s="42"/>
      <c r="F77" s="43"/>
    </row>
    <row r="78" spans="1:6" ht="18.5" x14ac:dyDescent="0.45">
      <c r="C78" s="40"/>
      <c r="D78" s="41"/>
      <c r="E78" s="42"/>
      <c r="F78" s="43"/>
    </row>
    <row r="79" spans="1:6" ht="18.5" x14ac:dyDescent="0.45">
      <c r="A79" s="15" t="s">
        <v>326</v>
      </c>
      <c r="B79" s="15" t="s">
        <v>326</v>
      </c>
      <c r="C79" s="40"/>
      <c r="D79" s="41">
        <f>C79*12</f>
        <v>0</v>
      </c>
      <c r="E79" s="42"/>
      <c r="F79" s="43"/>
    </row>
    <row r="80" spans="1:6" ht="18.5" x14ac:dyDescent="0.45">
      <c r="A80" t="s">
        <v>327</v>
      </c>
      <c r="B80" s="47" t="s">
        <v>328</v>
      </c>
      <c r="C80" s="40"/>
      <c r="D80" s="41"/>
      <c r="E80" s="42"/>
      <c r="F80" s="43"/>
    </row>
    <row r="81" spans="1:6" ht="18.5" x14ac:dyDescent="0.45">
      <c r="B81" s="15"/>
      <c r="C81" s="40"/>
      <c r="D81" s="41"/>
      <c r="E81" s="42"/>
      <c r="F81" s="43"/>
    </row>
    <row r="82" spans="1:6" ht="18.5" x14ac:dyDescent="0.45">
      <c r="B82" s="15"/>
      <c r="C82" s="40"/>
      <c r="D82" s="41"/>
      <c r="E82" s="42"/>
      <c r="F82" s="43"/>
    </row>
    <row r="83" spans="1:6" ht="18.5" x14ac:dyDescent="0.45">
      <c r="B83" s="15"/>
      <c r="C83" s="40"/>
      <c r="D83" s="41"/>
      <c r="E83" s="42"/>
      <c r="F83" s="43"/>
    </row>
    <row r="84" spans="1:6" ht="18.5" x14ac:dyDescent="0.45">
      <c r="B84" s="48" t="s">
        <v>329</v>
      </c>
      <c r="C84" s="40"/>
      <c r="D84" s="41"/>
      <c r="E84" s="42"/>
      <c r="F84" s="43"/>
    </row>
    <row r="85" spans="1:6" ht="18.5" x14ac:dyDescent="0.45">
      <c r="A85" t="s">
        <v>53</v>
      </c>
      <c r="B85" t="s">
        <v>53</v>
      </c>
      <c r="C85" s="40"/>
      <c r="D85" s="41"/>
      <c r="E85" s="42"/>
      <c r="F85" s="43"/>
    </row>
    <row r="86" spans="1:6" ht="17" x14ac:dyDescent="0.4">
      <c r="B86" s="17"/>
      <c r="C86" s="27"/>
      <c r="D86" s="33"/>
      <c r="E86" s="42"/>
      <c r="F86" s="43"/>
    </row>
    <row r="87" spans="1:6" ht="17" x14ac:dyDescent="0.4">
      <c r="C87" s="27"/>
      <c r="D87" s="33"/>
      <c r="E87" s="42"/>
      <c r="F87" s="43"/>
    </row>
    <row r="88" spans="1:6" ht="17.5" thickBot="1" x14ac:dyDescent="0.45">
      <c r="B88" s="15"/>
      <c r="C88" s="27"/>
      <c r="D88" s="33">
        <f t="shared" ref="D88" si="0">C88*12</f>
        <v>0</v>
      </c>
      <c r="E88" s="42"/>
      <c r="F88" s="43"/>
    </row>
    <row r="89" spans="1:6" ht="21.5" thickBot="1" x14ac:dyDescent="0.55000000000000004">
      <c r="B89" s="49" t="s">
        <v>0</v>
      </c>
      <c r="C89" s="50">
        <f>SUM(C35:C88)</f>
        <v>0</v>
      </c>
      <c r="D89" s="50">
        <f>SUM(D35:D88)</f>
        <v>0</v>
      </c>
      <c r="E89" s="49"/>
      <c r="F89" s="49"/>
    </row>
    <row r="90" spans="1:6" ht="17" x14ac:dyDescent="0.4">
      <c r="B90" s="47"/>
      <c r="E90" s="51"/>
    </row>
    <row r="91" spans="1:6" ht="17" x14ac:dyDescent="0.4">
      <c r="B91" s="47"/>
      <c r="E91" s="51"/>
    </row>
  </sheetData>
  <mergeCells count="1">
    <mergeCell ref="A1:F1"/>
  </mergeCells>
  <conditionalFormatting sqref="E35:E88">
    <cfRule type="containsText" dxfId="1" priority="1" operator="containsText" text="Grant">
      <formula>NOT(ISERROR(SEARCH("Grant",E35)))</formula>
    </cfRule>
  </conditionalFormatting>
  <conditionalFormatting sqref="E90:E91">
    <cfRule type="containsText" dxfId="0" priority="2" operator="containsText" text="Grant">
      <formula>NOT(ISERROR(SEARCH("Grant",E90)))</formula>
    </cfRule>
  </conditionalFormatting>
  <dataValidations disablePrompts="1" count="1">
    <dataValidation type="list" allowBlank="1" showInputMessage="1" showErrorMessage="1" prompt="Select funding source" sqref="E88 E90:E91" xr:uid="{9CA6A83C-3812-4CE7-BB9E-7963F7CEE089}">
      <formula1>"Operating,ESSER III"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B1E5-B5D8-4A1F-BDC7-D93C5536036A}">
  <sheetPr>
    <tabColor rgb="FF00B050"/>
  </sheetPr>
  <dimension ref="A1:M92"/>
  <sheetViews>
    <sheetView tabSelected="1" topLeftCell="A43" zoomScaleNormal="100" workbookViewId="0">
      <selection activeCell="K9" sqref="K9"/>
    </sheetView>
  </sheetViews>
  <sheetFormatPr defaultRowHeight="14.5" x14ac:dyDescent="0.35"/>
  <cols>
    <col min="1" max="1" width="60.7265625" bestFit="1" customWidth="1"/>
    <col min="2" max="2" width="17.453125" style="113" customWidth="1"/>
    <col min="3" max="4" width="15.26953125" style="122" customWidth="1"/>
    <col min="5" max="5" width="12.54296875" style="122" customWidth="1"/>
    <col min="6" max="6" width="15.453125" style="54" customWidth="1"/>
    <col min="7" max="7" width="5.453125" style="84" bestFit="1" customWidth="1"/>
    <col min="8" max="9" width="15.453125" style="54" customWidth="1"/>
    <col min="10" max="10" width="5.6328125" style="54" customWidth="1"/>
    <col min="11" max="11" width="52.81640625" customWidth="1"/>
    <col min="12" max="12" width="7.26953125" customWidth="1"/>
    <col min="13" max="13" width="12.08984375" customWidth="1"/>
  </cols>
  <sheetData>
    <row r="1" spans="1:11" ht="45.75" customHeight="1" x14ac:dyDescent="0.35">
      <c r="A1" s="10" t="s">
        <v>397</v>
      </c>
      <c r="B1" s="121" t="s">
        <v>3</v>
      </c>
      <c r="C1" s="222" t="s">
        <v>6</v>
      </c>
      <c r="D1" s="222" t="s">
        <v>430</v>
      </c>
      <c r="E1" s="121" t="s">
        <v>5</v>
      </c>
      <c r="F1" s="233" t="s">
        <v>0</v>
      </c>
      <c r="G1" s="307"/>
      <c r="H1" s="233" t="s">
        <v>467</v>
      </c>
      <c r="I1" s="304" t="s">
        <v>468</v>
      </c>
      <c r="J1" s="222" t="s">
        <v>474</v>
      </c>
      <c r="K1" s="98" t="s">
        <v>383</v>
      </c>
    </row>
    <row r="2" spans="1:11" ht="15" thickBot="1" x14ac:dyDescent="0.4">
      <c r="A2" s="9" t="s">
        <v>8</v>
      </c>
      <c r="B2" s="142">
        <f>Enrollment!C5</f>
        <v>378</v>
      </c>
      <c r="C2" s="142"/>
      <c r="D2" s="142"/>
      <c r="E2" s="142"/>
      <c r="F2" s="142">
        <f>B2</f>
        <v>378</v>
      </c>
      <c r="G2" s="308"/>
      <c r="H2" s="305"/>
      <c r="I2" s="305">
        <v>375</v>
      </c>
      <c r="J2" s="314"/>
    </row>
    <row r="3" spans="1:11" x14ac:dyDescent="0.35">
      <c r="A3" s="2" t="s">
        <v>10</v>
      </c>
      <c r="B3" s="113">
        <f>8345.33*B2</f>
        <v>3154534.7399999998</v>
      </c>
      <c r="F3" s="54">
        <f>SUM(B3:E3)</f>
        <v>3154534.7399999998</v>
      </c>
      <c r="H3" s="54">
        <f>F3/$B$2</f>
        <v>8345.33</v>
      </c>
      <c r="I3" s="54">
        <v>2538257.7999999998</v>
      </c>
      <c r="K3" t="s">
        <v>456</v>
      </c>
    </row>
    <row r="4" spans="1:11" x14ac:dyDescent="0.35">
      <c r="A4" s="1" t="s">
        <v>11</v>
      </c>
      <c r="B4" s="113">
        <f>699.2*B2</f>
        <v>264297.60000000003</v>
      </c>
      <c r="F4" s="54">
        <f>SUM(B4:E4)</f>
        <v>264297.60000000003</v>
      </c>
      <c r="H4" s="54">
        <f t="shared" ref="H4:H67" si="0">F4/$B$2</f>
        <v>699.2</v>
      </c>
      <c r="I4" s="54">
        <v>201152</v>
      </c>
    </row>
    <row r="5" spans="1:11" ht="15" thickBot="1" x14ac:dyDescent="0.4">
      <c r="A5" s="2" t="s">
        <v>12</v>
      </c>
      <c r="F5" s="54">
        <f>SUM(B5:E5)</f>
        <v>0</v>
      </c>
      <c r="H5" s="54">
        <f t="shared" si="0"/>
        <v>0</v>
      </c>
      <c r="K5" t="s">
        <v>374</v>
      </c>
    </row>
    <row r="6" spans="1:11" ht="15" thickBot="1" x14ac:dyDescent="0.4">
      <c r="A6" s="3" t="s">
        <v>9</v>
      </c>
      <c r="B6" s="123">
        <f>SUM(B3:B5)</f>
        <v>3418832.34</v>
      </c>
      <c r="C6" s="123">
        <f>SUM(C3:C5)</f>
        <v>0</v>
      </c>
      <c r="D6" s="123">
        <f>SUM(D3:D5)</f>
        <v>0</v>
      </c>
      <c r="E6" s="123"/>
      <c r="F6" s="55">
        <f>SUM(F3:F5)</f>
        <v>3418832.34</v>
      </c>
      <c r="G6" s="306"/>
      <c r="H6" s="55">
        <f t="shared" ref="H6:I6" si="1">SUM(H3:H5)</f>
        <v>9044.5300000000007</v>
      </c>
      <c r="I6" s="55">
        <f t="shared" si="1"/>
        <v>2739409.8</v>
      </c>
      <c r="J6" s="220"/>
    </row>
    <row r="7" spans="1:11" x14ac:dyDescent="0.35">
      <c r="A7" s="4"/>
      <c r="H7" s="54">
        <f t="shared" si="0"/>
        <v>0</v>
      </c>
    </row>
    <row r="8" spans="1:11" ht="43.5" x14ac:dyDescent="0.35">
      <c r="A8" s="1" t="s">
        <v>331</v>
      </c>
      <c r="B8" s="113">
        <v>28500</v>
      </c>
      <c r="F8" s="54">
        <f t="shared" ref="F8:F15" si="2">SUM(B8:E8)</f>
        <v>28500</v>
      </c>
      <c r="H8" s="54">
        <f t="shared" si="0"/>
        <v>75.396825396825392</v>
      </c>
      <c r="I8" s="54">
        <v>3479.36</v>
      </c>
      <c r="K8" s="117" t="s">
        <v>379</v>
      </c>
    </row>
    <row r="9" spans="1:11" x14ac:dyDescent="0.35">
      <c r="A9" s="2" t="s">
        <v>16</v>
      </c>
      <c r="F9" s="54">
        <f t="shared" si="2"/>
        <v>0</v>
      </c>
      <c r="H9" s="54">
        <f t="shared" si="0"/>
        <v>0</v>
      </c>
    </row>
    <row r="10" spans="1:11" x14ac:dyDescent="0.35">
      <c r="A10" s="1" t="s">
        <v>4</v>
      </c>
      <c r="F10" s="54">
        <f t="shared" si="2"/>
        <v>0</v>
      </c>
      <c r="H10" s="54">
        <f t="shared" si="0"/>
        <v>0</v>
      </c>
    </row>
    <row r="11" spans="1:11" x14ac:dyDescent="0.35">
      <c r="A11" s="2" t="s">
        <v>5</v>
      </c>
      <c r="E11" s="122">
        <v>7500</v>
      </c>
      <c r="F11" s="54">
        <f t="shared" si="2"/>
        <v>7500</v>
      </c>
      <c r="H11" s="54">
        <f t="shared" si="0"/>
        <v>19.841269841269842</v>
      </c>
      <c r="I11" s="54">
        <v>6093.75</v>
      </c>
    </row>
    <row r="12" spans="1:11" x14ac:dyDescent="0.35">
      <c r="A12" s="1" t="s">
        <v>17</v>
      </c>
      <c r="F12" s="54">
        <f t="shared" si="2"/>
        <v>0</v>
      </c>
      <c r="H12" s="54">
        <f t="shared" si="0"/>
        <v>0</v>
      </c>
    </row>
    <row r="13" spans="1:11" x14ac:dyDescent="0.35">
      <c r="A13" s="2" t="s">
        <v>18</v>
      </c>
      <c r="F13" s="54">
        <f t="shared" si="2"/>
        <v>0</v>
      </c>
      <c r="H13" s="54">
        <f t="shared" si="0"/>
        <v>0</v>
      </c>
    </row>
    <row r="14" spans="1:11" x14ac:dyDescent="0.35">
      <c r="A14" s="1" t="s">
        <v>19</v>
      </c>
      <c r="F14" s="54">
        <f t="shared" si="2"/>
        <v>0</v>
      </c>
      <c r="H14" s="54">
        <f t="shared" si="0"/>
        <v>0</v>
      </c>
    </row>
    <row r="15" spans="1:11" x14ac:dyDescent="0.35">
      <c r="A15" s="2" t="s">
        <v>20</v>
      </c>
      <c r="F15" s="54">
        <f t="shared" si="2"/>
        <v>0</v>
      </c>
      <c r="H15" s="54">
        <f t="shared" si="0"/>
        <v>0</v>
      </c>
    </row>
    <row r="16" spans="1:11" ht="15" thickBot="1" x14ac:dyDescent="0.4">
      <c r="A16" s="1" t="s">
        <v>21</v>
      </c>
      <c r="F16" s="54">
        <f>SUM(C16:E16)</f>
        <v>0</v>
      </c>
      <c r="H16" s="54">
        <f t="shared" si="0"/>
        <v>0</v>
      </c>
    </row>
    <row r="17" spans="1:12" ht="15" thickBot="1" x14ac:dyDescent="0.4">
      <c r="A17" s="5" t="s">
        <v>14</v>
      </c>
      <c r="B17" s="123">
        <f>SUM(B8:B16)</f>
        <v>28500</v>
      </c>
      <c r="C17" s="123">
        <f>SUM(C8:C16)</f>
        <v>0</v>
      </c>
      <c r="D17" s="123">
        <f>SUM(D8:D16)</f>
        <v>0</v>
      </c>
      <c r="E17" s="55">
        <f>SUM(E8:E16)</f>
        <v>7500</v>
      </c>
      <c r="F17" s="55">
        <f t="shared" ref="F17:I17" si="3">SUM(F8:F16)</f>
        <v>36000</v>
      </c>
      <c r="G17" s="306"/>
      <c r="H17" s="55">
        <f t="shared" si="3"/>
        <v>95.238095238095241</v>
      </c>
      <c r="I17" s="55">
        <f t="shared" si="3"/>
        <v>9573.11</v>
      </c>
      <c r="J17" s="220"/>
    </row>
    <row r="18" spans="1:12" x14ac:dyDescent="0.35">
      <c r="A18" s="6"/>
      <c r="H18" s="54">
        <f t="shared" si="0"/>
        <v>0</v>
      </c>
      <c r="I18" s="54">
        <v>81673.569999999992</v>
      </c>
      <c r="K18" t="s">
        <v>469</v>
      </c>
    </row>
    <row r="19" spans="1:12" x14ac:dyDescent="0.35">
      <c r="A19" s="2" t="s">
        <v>6</v>
      </c>
      <c r="C19" s="122">
        <v>547416</v>
      </c>
      <c r="F19" s="54">
        <f t="shared" ref="F19:F28" si="4">SUM(B19:E19)</f>
        <v>547416</v>
      </c>
      <c r="H19" s="54">
        <f t="shared" si="0"/>
        <v>1448.1904761904761</v>
      </c>
      <c r="I19" s="54">
        <v>427489.61</v>
      </c>
      <c r="L19" s="249"/>
    </row>
    <row r="20" spans="1:12" x14ac:dyDescent="0.35">
      <c r="A20" s="1" t="s">
        <v>23</v>
      </c>
      <c r="B20" s="113">
        <f>LCI!O2</f>
        <v>297821.93615999998</v>
      </c>
      <c r="F20" s="54">
        <f t="shared" si="4"/>
        <v>297821.93615999998</v>
      </c>
      <c r="H20" s="54">
        <f t="shared" si="0"/>
        <v>787.88871999999992</v>
      </c>
      <c r="I20" s="54">
        <v>153772.99</v>
      </c>
    </row>
    <row r="21" spans="1:12" x14ac:dyDescent="0.35">
      <c r="A21" s="2" t="s">
        <v>24</v>
      </c>
      <c r="F21" s="54">
        <f t="shared" si="4"/>
        <v>0</v>
      </c>
      <c r="H21" s="54">
        <f t="shared" si="0"/>
        <v>0</v>
      </c>
    </row>
    <row r="22" spans="1:12" x14ac:dyDescent="0.35">
      <c r="A22" s="1" t="s">
        <v>341</v>
      </c>
      <c r="F22" s="54">
        <f t="shared" si="4"/>
        <v>0</v>
      </c>
      <c r="H22" s="54">
        <f t="shared" si="0"/>
        <v>0</v>
      </c>
    </row>
    <row r="23" spans="1:12" x14ac:dyDescent="0.35">
      <c r="A23" s="2" t="s">
        <v>342</v>
      </c>
      <c r="F23" s="54">
        <f t="shared" si="4"/>
        <v>0</v>
      </c>
      <c r="H23" s="54">
        <f t="shared" si="0"/>
        <v>0</v>
      </c>
    </row>
    <row r="24" spans="1:12" x14ac:dyDescent="0.35">
      <c r="A24" s="1" t="s">
        <v>27</v>
      </c>
      <c r="F24" s="54">
        <f t="shared" si="4"/>
        <v>0</v>
      </c>
      <c r="H24" s="54">
        <f t="shared" si="0"/>
        <v>0</v>
      </c>
    </row>
    <row r="25" spans="1:12" x14ac:dyDescent="0.35">
      <c r="A25" s="2" t="s">
        <v>28</v>
      </c>
      <c r="F25" s="54">
        <f t="shared" si="4"/>
        <v>0</v>
      </c>
      <c r="H25" s="54">
        <f t="shared" si="0"/>
        <v>0</v>
      </c>
      <c r="I25" s="54">
        <v>141.69999999999999</v>
      </c>
    </row>
    <row r="26" spans="1:12" x14ac:dyDescent="0.35">
      <c r="A26" s="1" t="s">
        <v>334</v>
      </c>
      <c r="F26" s="54">
        <f t="shared" si="4"/>
        <v>0</v>
      </c>
      <c r="H26" s="54">
        <f t="shared" si="0"/>
        <v>0</v>
      </c>
      <c r="I26" s="54">
        <v>173022.41999999998</v>
      </c>
      <c r="K26" t="s">
        <v>377</v>
      </c>
    </row>
    <row r="27" spans="1:12" x14ac:dyDescent="0.35">
      <c r="A27" s="2" t="s">
        <v>367</v>
      </c>
      <c r="H27" s="54">
        <f t="shared" si="0"/>
        <v>0</v>
      </c>
      <c r="I27" s="54">
        <v>5324.73</v>
      </c>
    </row>
    <row r="28" spans="1:12" x14ac:dyDescent="0.35">
      <c r="A28" s="1" t="s">
        <v>332</v>
      </c>
      <c r="B28" s="113">
        <v>113188</v>
      </c>
      <c r="F28" s="54">
        <f t="shared" si="4"/>
        <v>113188</v>
      </c>
      <c r="H28" s="54">
        <f t="shared" si="0"/>
        <v>299.43915343915342</v>
      </c>
      <c r="K28" s="117"/>
    </row>
    <row r="29" spans="1:12" ht="15" thickBot="1" x14ac:dyDescent="0.4">
      <c r="A29" s="2" t="s">
        <v>333</v>
      </c>
      <c r="B29" s="113">
        <v>10000</v>
      </c>
      <c r="F29" s="54">
        <f>SUM(B29:E29)</f>
        <v>10000</v>
      </c>
      <c r="H29" s="54">
        <f t="shared" si="0"/>
        <v>26.455026455026456</v>
      </c>
    </row>
    <row r="30" spans="1:12" ht="15" thickBot="1" x14ac:dyDescent="0.4">
      <c r="A30" s="7" t="s">
        <v>22</v>
      </c>
      <c r="B30" s="123">
        <f>SUM(B19:B29)</f>
        <v>421009.93615999998</v>
      </c>
      <c r="C30" s="123">
        <f>SUM(C19:C29)</f>
        <v>547416</v>
      </c>
      <c r="D30" s="123">
        <f>SUM(D19:D29)</f>
        <v>0</v>
      </c>
      <c r="E30" s="123">
        <f>SUM(E19:E29)</f>
        <v>0</v>
      </c>
      <c r="F30" s="55">
        <f>SUM(F19:F29)</f>
        <v>968425.93616000004</v>
      </c>
      <c r="G30" s="306"/>
      <c r="H30" s="55">
        <f t="shared" ref="H30" si="5">SUM(H19:H29)</f>
        <v>2561.9733760846561</v>
      </c>
      <c r="I30" s="55">
        <f>SUM(I18:I29)</f>
        <v>841425.01999999979</v>
      </c>
      <c r="J30" s="220"/>
    </row>
    <row r="31" spans="1:12" ht="15" thickBot="1" x14ac:dyDescent="0.4">
      <c r="A31" s="4"/>
      <c r="H31" s="54">
        <f t="shared" si="0"/>
        <v>0</v>
      </c>
    </row>
    <row r="32" spans="1:12" ht="15" thickBot="1" x14ac:dyDescent="0.4">
      <c r="A32" s="7" t="s">
        <v>30</v>
      </c>
      <c r="B32" s="123">
        <f>B30+B17+B6</f>
        <v>3868342.2761599999</v>
      </c>
      <c r="C32" s="123">
        <f>C30+C17+C6</f>
        <v>547416</v>
      </c>
      <c r="D32" s="123">
        <f>D30+D17+D6</f>
        <v>0</v>
      </c>
      <c r="E32" s="123">
        <f>E30+E17+E6</f>
        <v>7500</v>
      </c>
      <c r="F32" s="55">
        <f>F30+F17+F6</f>
        <v>4423258.2761599999</v>
      </c>
      <c r="G32" s="306"/>
      <c r="H32" s="55">
        <f t="shared" ref="H32:I32" si="6">H30+H17+H6</f>
        <v>11701.741471322752</v>
      </c>
      <c r="I32" s="55">
        <f t="shared" si="6"/>
        <v>3590407.9299999997</v>
      </c>
      <c r="J32" s="220"/>
      <c r="L32" s="53"/>
    </row>
    <row r="33" spans="1:13" x14ac:dyDescent="0.35">
      <c r="A33" s="4"/>
      <c r="H33" s="54">
        <f t="shared" si="0"/>
        <v>0</v>
      </c>
    </row>
    <row r="34" spans="1:13" ht="21" customHeight="1" x14ac:dyDescent="0.35">
      <c r="A34" s="1" t="s">
        <v>31</v>
      </c>
      <c r="B34" s="113">
        <f>Staffing!AI2+Staffing!AI9-33938</f>
        <v>1083451.8500000001</v>
      </c>
      <c r="C34" s="122">
        <f>104655+56012+82397-C36-C37</f>
        <v>151264</v>
      </c>
      <c r="F34" s="54">
        <f>SUM(B34:E34)</f>
        <v>1234715.8500000001</v>
      </c>
      <c r="H34" s="54">
        <f t="shared" si="0"/>
        <v>3266.444047619048</v>
      </c>
      <c r="I34" s="54">
        <v>1014094.24</v>
      </c>
      <c r="K34" s="117"/>
      <c r="L34" s="249"/>
    </row>
    <row r="35" spans="1:13" x14ac:dyDescent="0.35">
      <c r="A35" s="2" t="s">
        <v>32</v>
      </c>
      <c r="F35" s="54">
        <f>SUM(B35:E35)</f>
        <v>0</v>
      </c>
      <c r="H35" s="54">
        <f t="shared" si="0"/>
        <v>0</v>
      </c>
    </row>
    <row r="36" spans="1:13" x14ac:dyDescent="0.35">
      <c r="A36" s="1" t="s">
        <v>6</v>
      </c>
      <c r="C36" s="122">
        <f>Staffing!U39</f>
        <v>64800</v>
      </c>
      <c r="F36" s="54">
        <f>SUM(B36:E36)</f>
        <v>64800</v>
      </c>
      <c r="H36" s="54">
        <f t="shared" si="0"/>
        <v>171.42857142857142</v>
      </c>
    </row>
    <row r="37" spans="1:13" x14ac:dyDescent="0.35">
      <c r="A37" s="2" t="s">
        <v>33</v>
      </c>
      <c r="B37" s="113">
        <f>Staffing!AI4+Staffing!AI11+Staffing!AI18-C37</f>
        <v>0</v>
      </c>
      <c r="C37" s="122">
        <f>Staffing!V39+Staffing!S39</f>
        <v>27000</v>
      </c>
      <c r="F37" s="54">
        <f>SUM(B37:E37)</f>
        <v>27000</v>
      </c>
      <c r="H37" s="54">
        <f t="shared" si="0"/>
        <v>71.428571428571431</v>
      </c>
      <c r="I37" s="54">
        <v>5500</v>
      </c>
      <c r="J37" s="84"/>
      <c r="K37" s="117"/>
      <c r="L37" s="249"/>
    </row>
    <row r="38" spans="1:13" ht="15" thickBot="1" x14ac:dyDescent="0.4">
      <c r="A38" s="1" t="s">
        <v>34</v>
      </c>
      <c r="B38" s="113">
        <f>Staffing!AI24+Staffing!AI25+Staffing!AI26+Staffing!AI58</f>
        <v>215853.91452499997</v>
      </c>
      <c r="F38" s="54">
        <f>SUM(B38:E38)</f>
        <v>215853.91452499997</v>
      </c>
      <c r="H38" s="54">
        <f t="shared" si="0"/>
        <v>571.04210191798938</v>
      </c>
      <c r="I38" s="54">
        <v>183993.05</v>
      </c>
      <c r="J38" s="84"/>
      <c r="K38" s="117"/>
    </row>
    <row r="39" spans="1:13" ht="15" thickBot="1" x14ac:dyDescent="0.4">
      <c r="A39" s="5" t="s">
        <v>35</v>
      </c>
      <c r="B39" s="123">
        <f>SUM(B34:B38)</f>
        <v>1299305.764525</v>
      </c>
      <c r="C39" s="123">
        <f>SUM(C34:C38)</f>
        <v>243064</v>
      </c>
      <c r="D39" s="123">
        <f>SUM(D34:D38)</f>
        <v>0</v>
      </c>
      <c r="E39" s="123">
        <f>SUM(E34:E38)</f>
        <v>0</v>
      </c>
      <c r="F39" s="55">
        <f t="shared" ref="F39:I39" si="7">SUM(F34:F38)</f>
        <v>1542369.764525</v>
      </c>
      <c r="G39" s="306">
        <f>F39/F32</f>
        <v>0.34869538883539725</v>
      </c>
      <c r="H39" s="55">
        <f t="shared" si="7"/>
        <v>4080.3432923941805</v>
      </c>
      <c r="I39" s="55">
        <f t="shared" si="7"/>
        <v>1203587.29</v>
      </c>
      <c r="J39" s="312">
        <f>I39/I32</f>
        <v>0.33522299233558123</v>
      </c>
      <c r="K39" s="98"/>
    </row>
    <row r="40" spans="1:13" x14ac:dyDescent="0.35">
      <c r="A40" s="6"/>
      <c r="H40" s="54">
        <f t="shared" si="0"/>
        <v>0</v>
      </c>
      <c r="J40" s="84"/>
      <c r="K40" s="117"/>
    </row>
    <row r="41" spans="1:13" x14ac:dyDescent="0.35">
      <c r="A41" s="2" t="s">
        <v>454</v>
      </c>
      <c r="B41" s="113">
        <f>(B3*0.18)</f>
        <v>567816.25319999992</v>
      </c>
      <c r="F41" s="54">
        <f t="shared" ref="F41:F56" si="8">SUM(B41:E41)</f>
        <v>567816.25319999992</v>
      </c>
      <c r="G41" s="84">
        <f>F41/F3</f>
        <v>0.18</v>
      </c>
      <c r="H41" s="54">
        <f t="shared" si="0"/>
        <v>1502.1593999999998</v>
      </c>
      <c r="I41" s="54">
        <v>618791.05000000005</v>
      </c>
      <c r="J41" s="84">
        <f>I41/I3</f>
        <v>0.24378573760317021</v>
      </c>
      <c r="K41" s="117"/>
    </row>
    <row r="42" spans="1:13" x14ac:dyDescent="0.35">
      <c r="A42" s="1" t="s">
        <v>37</v>
      </c>
      <c r="B42" s="113">
        <v>99266.39</v>
      </c>
      <c r="F42" s="54">
        <f t="shared" si="8"/>
        <v>99266.39</v>
      </c>
      <c r="G42" s="84">
        <f>F42/F3</f>
        <v>3.1467838582116867E-2</v>
      </c>
      <c r="H42" s="54">
        <f t="shared" si="0"/>
        <v>262.60949735449736</v>
      </c>
      <c r="I42" s="54">
        <v>82268.210000000006</v>
      </c>
      <c r="J42" s="84">
        <f>I42/I3</f>
        <v>3.2411290137668448E-2</v>
      </c>
    </row>
    <row r="43" spans="1:13" x14ac:dyDescent="0.35">
      <c r="A43" s="2" t="s">
        <v>38</v>
      </c>
      <c r="F43" s="54">
        <f t="shared" si="8"/>
        <v>0</v>
      </c>
      <c r="H43" s="54">
        <f t="shared" si="0"/>
        <v>0</v>
      </c>
      <c r="I43" s="54">
        <v>3810.46</v>
      </c>
      <c r="J43" s="84"/>
      <c r="K43" s="298" t="s">
        <v>459</v>
      </c>
    </row>
    <row r="44" spans="1:13" x14ac:dyDescent="0.35">
      <c r="A44" s="1" t="s">
        <v>39</v>
      </c>
      <c r="B44" s="299">
        <f>'Expense Support'!C13-C44</f>
        <v>381</v>
      </c>
      <c r="C44" s="300">
        <v>109619</v>
      </c>
      <c r="F44" s="54">
        <f t="shared" si="8"/>
        <v>110000</v>
      </c>
      <c r="G44" s="84">
        <f>F44/$F$32</f>
        <v>2.4868545568063734E-2</v>
      </c>
      <c r="H44" s="54">
        <f t="shared" si="0"/>
        <v>291.00529100529099</v>
      </c>
      <c r="I44" s="54">
        <v>79306</v>
      </c>
      <c r="J44" s="84">
        <f>I44/$I$32</f>
        <v>2.2088297916610274E-2</v>
      </c>
      <c r="K44" s="117"/>
    </row>
    <row r="45" spans="1:13" x14ac:dyDescent="0.35">
      <c r="A45" s="2" t="s">
        <v>40</v>
      </c>
      <c r="B45" s="113">
        <f>10000-E45</f>
        <v>2500</v>
      </c>
      <c r="E45" s="122">
        <v>7500</v>
      </c>
      <c r="F45" s="54">
        <f t="shared" si="8"/>
        <v>10000</v>
      </c>
      <c r="G45" s="84">
        <f t="shared" ref="G45:G74" si="9">F45/$F$32</f>
        <v>2.2607768698239758E-3</v>
      </c>
      <c r="H45" s="54">
        <f t="shared" si="0"/>
        <v>26.455026455026456</v>
      </c>
      <c r="I45" s="54">
        <v>5078.75</v>
      </c>
      <c r="J45" s="84">
        <f t="shared" ref="J45:J70" si="10">I45/$I$32</f>
        <v>1.4145328606156461E-3</v>
      </c>
      <c r="K45" s="278"/>
    </row>
    <row r="46" spans="1:13" x14ac:dyDescent="0.35">
      <c r="A46" s="1" t="s">
        <v>41</v>
      </c>
      <c r="B46" s="113">
        <f>'Expense Support'!C24-C46</f>
        <v>23823.98599999999</v>
      </c>
      <c r="C46" s="122">
        <v>85795</v>
      </c>
      <c r="F46" s="54">
        <f t="shared" si="8"/>
        <v>109618.98599999999</v>
      </c>
      <c r="G46" s="84">
        <f t="shared" si="9"/>
        <v>2.478240680423582E-2</v>
      </c>
      <c r="H46" s="54">
        <f t="shared" si="0"/>
        <v>289.99731746031745</v>
      </c>
      <c r="I46" s="54">
        <v>83945.760000000009</v>
      </c>
      <c r="J46" s="84">
        <f t="shared" si="10"/>
        <v>2.3380563333370318E-2</v>
      </c>
      <c r="K46" t="s">
        <v>460</v>
      </c>
      <c r="L46" s="249"/>
    </row>
    <row r="47" spans="1:13" x14ac:dyDescent="0.35">
      <c r="A47" s="2" t="s">
        <v>346</v>
      </c>
      <c r="B47" s="303">
        <f>Technology!D4</f>
        <v>28563</v>
      </c>
      <c r="F47" s="54">
        <f t="shared" si="8"/>
        <v>28563</v>
      </c>
      <c r="G47" s="84">
        <f t="shared" si="9"/>
        <v>6.4574569732782222E-3</v>
      </c>
      <c r="H47" s="54">
        <f t="shared" si="0"/>
        <v>75.563492063492063</v>
      </c>
      <c r="I47" s="54">
        <v>36800</v>
      </c>
      <c r="J47" s="84">
        <f t="shared" si="10"/>
        <v>1.0249531729393212E-2</v>
      </c>
      <c r="K47" s="256" t="s">
        <v>396</v>
      </c>
    </row>
    <row r="48" spans="1:13" x14ac:dyDescent="0.35">
      <c r="A48" s="1" t="s">
        <v>42</v>
      </c>
      <c r="B48" s="303">
        <f>Technology!D19</f>
        <v>20472</v>
      </c>
      <c r="F48" s="54">
        <f t="shared" si="8"/>
        <v>20472</v>
      </c>
      <c r="G48" s="84">
        <f t="shared" si="9"/>
        <v>4.6282624079036433E-3</v>
      </c>
      <c r="H48" s="54">
        <f t="shared" si="0"/>
        <v>54.158730158730158</v>
      </c>
      <c r="I48" s="54">
        <v>0</v>
      </c>
      <c r="J48" s="84">
        <f t="shared" si="10"/>
        <v>0</v>
      </c>
      <c r="K48" s="298" t="s">
        <v>447</v>
      </c>
      <c r="L48">
        <f>1600*12</f>
        <v>19200</v>
      </c>
      <c r="M48" s="91"/>
    </row>
    <row r="49" spans="1:12" x14ac:dyDescent="0.35">
      <c r="A49" s="2" t="s">
        <v>43</v>
      </c>
      <c r="B49" s="113">
        <f>Operations!D10</f>
        <v>35333.880000000005</v>
      </c>
      <c r="F49" s="54">
        <f t="shared" si="8"/>
        <v>35333.880000000005</v>
      </c>
      <c r="G49" s="84">
        <f t="shared" si="9"/>
        <v>7.9882018625135991E-3</v>
      </c>
      <c r="H49" s="54">
        <f t="shared" si="0"/>
        <v>93.475873015873034</v>
      </c>
      <c r="I49" s="54">
        <v>30407.5</v>
      </c>
      <c r="J49" s="84">
        <f t="shared" si="10"/>
        <v>8.4690933712370676E-3</v>
      </c>
    </row>
    <row r="50" spans="1:12" x14ac:dyDescent="0.35">
      <c r="A50" s="1" t="s">
        <v>44</v>
      </c>
      <c r="B50" s="113">
        <f>Operations!D27</f>
        <v>53885.48</v>
      </c>
      <c r="F50" s="54">
        <f t="shared" si="8"/>
        <v>53885.48</v>
      </c>
      <c r="G50" s="84">
        <f t="shared" si="9"/>
        <v>1.2182304680336247E-2</v>
      </c>
      <c r="H50" s="54">
        <f t="shared" si="0"/>
        <v>142.5541798941799</v>
      </c>
      <c r="I50" s="54">
        <v>33299.03</v>
      </c>
      <c r="J50" s="84">
        <f t="shared" si="10"/>
        <v>9.2744419712776204E-3</v>
      </c>
    </row>
    <row r="51" spans="1:12" x14ac:dyDescent="0.35">
      <c r="A51" s="2" t="s">
        <v>45</v>
      </c>
      <c r="B51" s="113">
        <v>10000</v>
      </c>
      <c r="F51" s="54">
        <f t="shared" si="8"/>
        <v>10000</v>
      </c>
      <c r="G51" s="84">
        <f t="shared" si="9"/>
        <v>2.2607768698239758E-3</v>
      </c>
      <c r="H51" s="54">
        <f t="shared" si="0"/>
        <v>26.455026455026456</v>
      </c>
      <c r="I51" s="54">
        <v>6602.64</v>
      </c>
      <c r="J51" s="84">
        <f t="shared" si="10"/>
        <v>1.838966526569587E-3</v>
      </c>
      <c r="K51" t="s">
        <v>375</v>
      </c>
    </row>
    <row r="52" spans="1:12" x14ac:dyDescent="0.35">
      <c r="A52" s="1" t="s">
        <v>46</v>
      </c>
      <c r="B52" s="113">
        <f>Operations!D31</f>
        <v>1800</v>
      </c>
      <c r="F52" s="54">
        <f t="shared" si="8"/>
        <v>1800</v>
      </c>
      <c r="G52" s="84">
        <f t="shared" si="9"/>
        <v>4.0693983656831564E-4</v>
      </c>
      <c r="H52" s="54">
        <f t="shared" si="0"/>
        <v>4.7619047619047619</v>
      </c>
      <c r="I52" s="54">
        <v>3513.84</v>
      </c>
      <c r="J52" s="84">
        <f t="shared" si="10"/>
        <v>9.786743090220392E-4</v>
      </c>
      <c r="K52" s="281" t="s">
        <v>466</v>
      </c>
    </row>
    <row r="53" spans="1:12" x14ac:dyDescent="0.35">
      <c r="A53" s="2" t="s">
        <v>47</v>
      </c>
      <c r="B53" s="113">
        <f>5000+5000</f>
        <v>10000</v>
      </c>
      <c r="F53" s="54">
        <f t="shared" si="8"/>
        <v>10000</v>
      </c>
      <c r="G53" s="84">
        <f t="shared" si="9"/>
        <v>2.2607768698239758E-3</v>
      </c>
      <c r="H53" s="54">
        <f t="shared" si="0"/>
        <v>26.455026455026456</v>
      </c>
      <c r="I53" s="54">
        <v>1451.2</v>
      </c>
      <c r="J53" s="84">
        <f t="shared" si="10"/>
        <v>4.0418805558954971E-4</v>
      </c>
      <c r="K53" s="281" t="s">
        <v>465</v>
      </c>
    </row>
    <row r="54" spans="1:12" x14ac:dyDescent="0.35">
      <c r="A54" s="1" t="s">
        <v>48</v>
      </c>
      <c r="B54" s="113">
        <f>Operations!D29-C54</f>
        <v>41062</v>
      </c>
      <c r="C54" s="122">
        <v>108938</v>
      </c>
      <c r="F54" s="54">
        <f t="shared" si="8"/>
        <v>150000</v>
      </c>
      <c r="G54" s="84">
        <f t="shared" si="9"/>
        <v>3.3911653047359637E-2</v>
      </c>
      <c r="H54" s="54">
        <f t="shared" si="0"/>
        <v>396.82539682539681</v>
      </c>
      <c r="I54" s="54">
        <v>105331.73000000001</v>
      </c>
      <c r="J54" s="84">
        <f t="shared" si="10"/>
        <v>2.9336981215947799E-2</v>
      </c>
      <c r="L54" s="249"/>
    </row>
    <row r="55" spans="1:12" x14ac:dyDescent="0.35">
      <c r="A55" s="2" t="s">
        <v>49</v>
      </c>
      <c r="B55" s="113">
        <v>34020</v>
      </c>
      <c r="F55" s="54">
        <f t="shared" si="8"/>
        <v>34020</v>
      </c>
      <c r="G55" s="84">
        <f t="shared" si="9"/>
        <v>7.6911629111411656E-3</v>
      </c>
      <c r="H55" s="54">
        <f t="shared" si="0"/>
        <v>90</v>
      </c>
      <c r="I55" s="54">
        <v>29753.75</v>
      </c>
      <c r="J55" s="84">
        <f t="shared" si="10"/>
        <v>8.2870109971041658E-3</v>
      </c>
      <c r="K55" t="s">
        <v>401</v>
      </c>
    </row>
    <row r="56" spans="1:12" x14ac:dyDescent="0.35">
      <c r="A56" s="1" t="s">
        <v>50</v>
      </c>
      <c r="B56" s="113">
        <f>(180000+240000)*1.03</f>
        <v>432600</v>
      </c>
      <c r="F56" s="54">
        <f t="shared" si="8"/>
        <v>432600</v>
      </c>
      <c r="G56" s="84">
        <f t="shared" si="9"/>
        <v>9.7801207388585193E-2</v>
      </c>
      <c r="H56" s="54">
        <f t="shared" si="0"/>
        <v>1144.4444444444443</v>
      </c>
      <c r="I56" s="54">
        <v>325817.08999999997</v>
      </c>
      <c r="J56" s="84">
        <f t="shared" si="10"/>
        <v>9.0746538096020748E-2</v>
      </c>
      <c r="K56" t="s">
        <v>376</v>
      </c>
    </row>
    <row r="57" spans="1:12" x14ac:dyDescent="0.35">
      <c r="A57" s="2" t="s">
        <v>51</v>
      </c>
      <c r="G57" s="84">
        <f t="shared" si="9"/>
        <v>0</v>
      </c>
      <c r="H57" s="54">
        <f t="shared" si="0"/>
        <v>0</v>
      </c>
      <c r="I57" s="54">
        <v>0</v>
      </c>
      <c r="J57" s="84">
        <f t="shared" si="10"/>
        <v>0</v>
      </c>
    </row>
    <row r="58" spans="1:12" x14ac:dyDescent="0.35">
      <c r="A58" s="1" t="s">
        <v>369</v>
      </c>
      <c r="B58" s="113">
        <f>'Expense Support'!C35</f>
        <v>45900</v>
      </c>
      <c r="F58" s="54">
        <f t="shared" ref="F58:F69" si="11">SUM(B58:E58)</f>
        <v>45900</v>
      </c>
      <c r="G58" s="84">
        <f t="shared" si="9"/>
        <v>1.0376965832492049E-2</v>
      </c>
      <c r="H58" s="54">
        <f t="shared" si="0"/>
        <v>121.42857142857143</v>
      </c>
      <c r="I58" s="54">
        <v>36720</v>
      </c>
      <c r="J58" s="84">
        <f t="shared" si="10"/>
        <v>1.0227250138677139E-2</v>
      </c>
    </row>
    <row r="59" spans="1:12" x14ac:dyDescent="0.35">
      <c r="A59" s="2" t="s">
        <v>52</v>
      </c>
      <c r="B59" s="113">
        <v>50000</v>
      </c>
      <c r="F59" s="54">
        <f t="shared" si="11"/>
        <v>50000</v>
      </c>
      <c r="G59" s="84">
        <f t="shared" si="9"/>
        <v>1.1303884349119879E-2</v>
      </c>
      <c r="H59" s="54">
        <f t="shared" si="0"/>
        <v>132.27513227513228</v>
      </c>
      <c r="I59" s="54">
        <v>3998.04</v>
      </c>
      <c r="J59" s="84">
        <f t="shared" si="10"/>
        <v>1.1135336368310663E-3</v>
      </c>
      <c r="K59" s="281" t="s">
        <v>465</v>
      </c>
    </row>
    <row r="60" spans="1:12" x14ac:dyDescent="0.35">
      <c r="A60" s="1" t="s">
        <v>53</v>
      </c>
      <c r="B60" s="113">
        <v>5000</v>
      </c>
      <c r="F60" s="54">
        <f t="shared" si="11"/>
        <v>5000</v>
      </c>
      <c r="G60" s="84">
        <f t="shared" si="9"/>
        <v>1.1303884349119879E-3</v>
      </c>
      <c r="H60" s="54">
        <f t="shared" si="0"/>
        <v>13.227513227513228</v>
      </c>
      <c r="I60" s="54">
        <v>2195.04</v>
      </c>
      <c r="J60" s="84">
        <f t="shared" si="10"/>
        <v>6.1136228606758906E-4</v>
      </c>
    </row>
    <row r="61" spans="1:12" x14ac:dyDescent="0.35">
      <c r="A61" s="2" t="s">
        <v>54</v>
      </c>
      <c r="B61" s="113">
        <f>'Expense Support'!C51</f>
        <v>7410.4380000000001</v>
      </c>
      <c r="F61" s="54">
        <f t="shared" si="11"/>
        <v>7410.4380000000001</v>
      </c>
      <c r="G61" s="84">
        <f t="shared" si="9"/>
        <v>1.6753346825664644E-3</v>
      </c>
      <c r="H61" s="54">
        <f t="shared" si="0"/>
        <v>19.604333333333333</v>
      </c>
      <c r="I61" s="54">
        <v>5937.8900000000012</v>
      </c>
      <c r="J61" s="84">
        <f t="shared" si="10"/>
        <v>1.6538204337132249E-3</v>
      </c>
      <c r="K61" s="90"/>
    </row>
    <row r="62" spans="1:12" x14ac:dyDescent="0.35">
      <c r="A62" s="1" t="s">
        <v>55</v>
      </c>
      <c r="B62" s="113">
        <v>25000</v>
      </c>
      <c r="F62" s="54">
        <f t="shared" si="11"/>
        <v>25000</v>
      </c>
      <c r="G62" s="84">
        <f t="shared" si="9"/>
        <v>5.6519421745599395E-3</v>
      </c>
      <c r="H62" s="54">
        <f t="shared" si="0"/>
        <v>66.137566137566139</v>
      </c>
      <c r="I62" s="54">
        <v>15056.619999999999</v>
      </c>
      <c r="J62" s="84">
        <f t="shared" si="10"/>
        <v>4.1935680550928374E-3</v>
      </c>
      <c r="K62" t="s">
        <v>464</v>
      </c>
    </row>
    <row r="63" spans="1:12" x14ac:dyDescent="0.35">
      <c r="A63" s="2" t="s">
        <v>56</v>
      </c>
      <c r="G63" s="84">
        <f t="shared" si="9"/>
        <v>0</v>
      </c>
      <c r="H63" s="54">
        <f t="shared" si="0"/>
        <v>0</v>
      </c>
      <c r="J63" s="84">
        <f t="shared" si="10"/>
        <v>0</v>
      </c>
    </row>
    <row r="64" spans="1:12" ht="14.25" customHeight="1" x14ac:dyDescent="0.35">
      <c r="A64" s="1" t="s">
        <v>57</v>
      </c>
      <c r="B64" s="113">
        <v>12000</v>
      </c>
      <c r="F64" s="54">
        <f t="shared" si="11"/>
        <v>12000</v>
      </c>
      <c r="G64" s="84">
        <f t="shared" si="9"/>
        <v>2.7129322437887712E-3</v>
      </c>
      <c r="H64" s="54">
        <f t="shared" si="0"/>
        <v>31.746031746031747</v>
      </c>
      <c r="I64" s="54">
        <v>13885</v>
      </c>
      <c r="J64" s="84">
        <f t="shared" si="10"/>
        <v>3.8672485886582812E-3</v>
      </c>
      <c r="K64" t="s">
        <v>410</v>
      </c>
    </row>
    <row r="65" spans="1:13" x14ac:dyDescent="0.35">
      <c r="A65" s="1" t="s">
        <v>58</v>
      </c>
      <c r="B65" s="113">
        <f>'Expense Support'!C57</f>
        <v>10000</v>
      </c>
      <c r="F65" s="54">
        <f t="shared" si="11"/>
        <v>10000</v>
      </c>
      <c r="G65" s="84">
        <f t="shared" si="9"/>
        <v>2.2607768698239758E-3</v>
      </c>
      <c r="H65" s="54">
        <f t="shared" si="0"/>
        <v>26.455026455026456</v>
      </c>
      <c r="I65" s="54">
        <v>109700</v>
      </c>
      <c r="J65" s="84">
        <f t="shared" si="10"/>
        <v>3.0553631269414006E-2</v>
      </c>
    </row>
    <row r="66" spans="1:13" x14ac:dyDescent="0.35">
      <c r="A66" s="2" t="s">
        <v>59</v>
      </c>
      <c r="B66" s="113">
        <f>'Expense Support'!C66</f>
        <v>10658</v>
      </c>
      <c r="F66" s="54">
        <f t="shared" si="11"/>
        <v>10658</v>
      </c>
      <c r="G66" s="84">
        <f t="shared" si="9"/>
        <v>2.4095359878583936E-3</v>
      </c>
      <c r="H66" s="54">
        <f t="shared" si="0"/>
        <v>28.195767195767196</v>
      </c>
      <c r="I66" s="54">
        <v>3432.61</v>
      </c>
      <c r="J66" s="84">
        <f t="shared" si="10"/>
        <v>9.5605013884870744E-4</v>
      </c>
      <c r="K66" s="90"/>
    </row>
    <row r="67" spans="1:13" x14ac:dyDescent="0.35">
      <c r="A67" s="1" t="s">
        <v>60</v>
      </c>
      <c r="B67" s="113">
        <v>15000</v>
      </c>
      <c r="F67" s="54">
        <f t="shared" si="11"/>
        <v>15000</v>
      </c>
      <c r="G67" s="84">
        <f t="shared" si="9"/>
        <v>3.3911653047359637E-3</v>
      </c>
      <c r="H67" s="54">
        <f t="shared" si="0"/>
        <v>39.682539682539684</v>
      </c>
      <c r="I67" s="54">
        <v>9495</v>
      </c>
      <c r="J67" s="84">
        <f t="shared" si="10"/>
        <v>2.6445462981138194E-3</v>
      </c>
    </row>
    <row r="68" spans="1:13" x14ac:dyDescent="0.35">
      <c r="A68" s="2" t="s">
        <v>61</v>
      </c>
      <c r="B68" s="113">
        <v>0</v>
      </c>
      <c r="F68" s="54">
        <f t="shared" si="11"/>
        <v>0</v>
      </c>
      <c r="G68" s="84">
        <f t="shared" si="9"/>
        <v>0</v>
      </c>
      <c r="H68" s="54">
        <f t="shared" ref="H68:H86" si="12">F68/$B$2</f>
        <v>0</v>
      </c>
      <c r="J68" s="84">
        <f t="shared" si="10"/>
        <v>0</v>
      </c>
      <c r="K68" s="90"/>
    </row>
    <row r="69" spans="1:13" ht="15" thickBot="1" x14ac:dyDescent="0.4">
      <c r="A69" s="11" t="s">
        <v>368</v>
      </c>
      <c r="B69" s="113">
        <v>5000</v>
      </c>
      <c r="F69" s="54">
        <f t="shared" si="11"/>
        <v>5000</v>
      </c>
      <c r="G69" s="84">
        <f t="shared" si="9"/>
        <v>1.1303884349119879E-3</v>
      </c>
      <c r="H69" s="54">
        <f t="shared" si="12"/>
        <v>13.227513227513228</v>
      </c>
      <c r="I69" s="54">
        <v>63559</v>
      </c>
      <c r="J69" s="84">
        <f t="shared" si="10"/>
        <v>1.7702445304035412E-2</v>
      </c>
    </row>
    <row r="70" spans="1:13" ht="15" thickBot="1" x14ac:dyDescent="0.4">
      <c r="A70" s="5" t="s">
        <v>36</v>
      </c>
      <c r="B70" s="123">
        <f>SUM(B41:B69)</f>
        <v>1547492.4272</v>
      </c>
      <c r="C70" s="123">
        <f>SUM(C41:C69)</f>
        <v>304352</v>
      </c>
      <c r="D70" s="123">
        <f>SUM(D41:D69)</f>
        <v>0</v>
      </c>
      <c r="E70" s="123">
        <f>SUM(E41:E69)</f>
        <v>7500</v>
      </c>
      <c r="F70" s="55">
        <f>SUM(F41:F69)</f>
        <v>1859344.4272</v>
      </c>
      <c r="G70" s="306">
        <f t="shared" si="9"/>
        <v>0.42035628740498693</v>
      </c>
      <c r="H70" s="55">
        <f t="shared" ref="H70:I70" si="13">SUM(H41:H69)</f>
        <v>4918.9006010582007</v>
      </c>
      <c r="I70" s="55">
        <f t="shared" si="13"/>
        <v>1710156.21</v>
      </c>
      <c r="J70" s="312">
        <f t="shared" si="10"/>
        <v>0.47631250914711526</v>
      </c>
    </row>
    <row r="71" spans="1:13" ht="15" thickBot="1" x14ac:dyDescent="0.4">
      <c r="A71" s="6"/>
      <c r="H71" s="54">
        <f t="shared" si="12"/>
        <v>0</v>
      </c>
      <c r="J71" s="84"/>
    </row>
    <row r="72" spans="1:13" ht="15" thickBot="1" x14ac:dyDescent="0.4">
      <c r="A72" s="5" t="s">
        <v>62</v>
      </c>
      <c r="B72" s="123">
        <f>B70+B39</f>
        <v>2846798.1917249998</v>
      </c>
      <c r="C72" s="123">
        <f>C70+C39</f>
        <v>547416</v>
      </c>
      <c r="D72" s="123">
        <f>D70+D39</f>
        <v>0</v>
      </c>
      <c r="E72" s="123">
        <f>E70+E39</f>
        <v>7500</v>
      </c>
      <c r="F72" s="55">
        <f>F70+F39</f>
        <v>3401714.1917249998</v>
      </c>
      <c r="G72" s="306">
        <f t="shared" si="9"/>
        <v>0.76905167624038417</v>
      </c>
      <c r="H72" s="55">
        <f t="shared" ref="H72:I72" si="14">H70+H39</f>
        <v>8999.2438934523816</v>
      </c>
      <c r="I72" s="55">
        <f t="shared" si="14"/>
        <v>2913743.5</v>
      </c>
      <c r="J72" s="312">
        <f>I72/$I$32</f>
        <v>0.81153550148269649</v>
      </c>
      <c r="M72" s="53">
        <f>C72-C32</f>
        <v>0</v>
      </c>
    </row>
    <row r="73" spans="1:13" ht="15" thickBot="1" x14ac:dyDescent="0.4">
      <c r="A73" s="6"/>
      <c r="H73" s="54">
        <f t="shared" si="12"/>
        <v>0</v>
      </c>
      <c r="J73" s="84"/>
    </row>
    <row r="74" spans="1:13" ht="15" thickBot="1" x14ac:dyDescent="0.4">
      <c r="A74" s="5" t="s">
        <v>63</v>
      </c>
      <c r="B74" s="123">
        <f>B32-B72</f>
        <v>1021544.0844350001</v>
      </c>
      <c r="C74" s="123">
        <f>C32-C72</f>
        <v>0</v>
      </c>
      <c r="D74" s="123">
        <f>D32-D72</f>
        <v>0</v>
      </c>
      <c r="E74" s="123">
        <f>E32-E72</f>
        <v>0</v>
      </c>
      <c r="F74" s="55">
        <f>F32-F72</f>
        <v>1021544.0844350001</v>
      </c>
      <c r="G74" s="306">
        <f t="shared" si="9"/>
        <v>0.23094832375961588</v>
      </c>
      <c r="H74" s="55">
        <f t="shared" ref="H74:I74" si="15">H32-H72</f>
        <v>2702.4975778703702</v>
      </c>
      <c r="I74" s="55">
        <f t="shared" si="15"/>
        <v>676664.4299999997</v>
      </c>
      <c r="J74" s="312">
        <f>I74/$I$32</f>
        <v>0.18846449851730351</v>
      </c>
    </row>
    <row r="75" spans="1:13" x14ac:dyDescent="0.35">
      <c r="A75" s="6"/>
      <c r="H75" s="54">
        <f t="shared" si="12"/>
        <v>0</v>
      </c>
      <c r="J75" s="84"/>
    </row>
    <row r="76" spans="1:13" x14ac:dyDescent="0.35">
      <c r="A76" s="2" t="s">
        <v>65</v>
      </c>
      <c r="B76" s="113">
        <f>Finance!D67</f>
        <v>0</v>
      </c>
      <c r="F76" s="54">
        <f>SUM(B76:E76)</f>
        <v>0</v>
      </c>
      <c r="H76" s="54">
        <f t="shared" si="12"/>
        <v>0</v>
      </c>
      <c r="J76" s="84"/>
    </row>
    <row r="77" spans="1:13" ht="15" thickBot="1" x14ac:dyDescent="0.4">
      <c r="A77" s="1" t="s">
        <v>66</v>
      </c>
      <c r="F77" s="54">
        <f>SUM(B77:E77)</f>
        <v>0</v>
      </c>
      <c r="H77" s="54">
        <f t="shared" si="12"/>
        <v>0</v>
      </c>
      <c r="J77" s="84"/>
    </row>
    <row r="78" spans="1:13" ht="15" thickBot="1" x14ac:dyDescent="0.4">
      <c r="A78" s="5" t="s">
        <v>64</v>
      </c>
      <c r="B78" s="123">
        <f>B74-B76-B77</f>
        <v>1021544.0844350001</v>
      </c>
      <c r="C78" s="123">
        <f t="shared" ref="C78:I78" si="16">C74-C76-C77</f>
        <v>0</v>
      </c>
      <c r="D78" s="123">
        <f t="shared" si="16"/>
        <v>0</v>
      </c>
      <c r="E78" s="123">
        <f>E74-E76-E77</f>
        <v>0</v>
      </c>
      <c r="F78" s="55">
        <f t="shared" si="16"/>
        <v>1021544.0844350001</v>
      </c>
      <c r="G78" s="306">
        <f t="shared" ref="G78" si="17">F78/$F$32</f>
        <v>0.23094832375961588</v>
      </c>
      <c r="H78" s="55">
        <f t="shared" si="16"/>
        <v>2702.4975778703702</v>
      </c>
      <c r="I78" s="55">
        <f t="shared" si="16"/>
        <v>676664.4299999997</v>
      </c>
      <c r="J78" s="312">
        <f>I78/$I$32</f>
        <v>0.18846449851730351</v>
      </c>
    </row>
    <row r="79" spans="1:13" x14ac:dyDescent="0.35">
      <c r="A79" s="5" t="s">
        <v>67</v>
      </c>
      <c r="B79" s="124">
        <f>B78/B32</f>
        <v>0.26407799814680816</v>
      </c>
      <c r="C79" s="124">
        <f>C78/C32</f>
        <v>0</v>
      </c>
      <c r="D79" s="124"/>
      <c r="E79" s="124"/>
      <c r="F79" s="97">
        <f>F78/F32</f>
        <v>0.23094832375961588</v>
      </c>
      <c r="G79" s="97"/>
      <c r="H79" s="54">
        <f t="shared" si="12"/>
        <v>6.1097440148046532E-4</v>
      </c>
      <c r="I79" s="97">
        <f>I78/I32</f>
        <v>0.18846449851730351</v>
      </c>
      <c r="J79" s="97"/>
    </row>
    <row r="80" spans="1:13" x14ac:dyDescent="0.35">
      <c r="A80" s="8"/>
      <c r="H80" s="54">
        <f t="shared" si="12"/>
        <v>0</v>
      </c>
      <c r="J80" s="84"/>
    </row>
    <row r="81" spans="1:11" x14ac:dyDescent="0.35">
      <c r="A81" s="1" t="s">
        <v>69</v>
      </c>
      <c r="B81" s="113">
        <f>Finance!D66</f>
        <v>0</v>
      </c>
      <c r="F81" s="54">
        <f>SUM(B81:E81)</f>
        <v>0</v>
      </c>
      <c r="H81" s="54">
        <f t="shared" si="12"/>
        <v>0</v>
      </c>
      <c r="J81" s="84"/>
    </row>
    <row r="82" spans="1:11" ht="15" thickBot="1" x14ac:dyDescent="0.4">
      <c r="A82" s="2" t="s">
        <v>70</v>
      </c>
      <c r="F82" s="54">
        <f>SUM(B82:E82)</f>
        <v>0</v>
      </c>
      <c r="H82" s="54">
        <f t="shared" si="12"/>
        <v>0</v>
      </c>
      <c r="J82" s="84"/>
      <c r="K82" s="290"/>
    </row>
    <row r="83" spans="1:11" x14ac:dyDescent="0.35">
      <c r="A83" s="5" t="s">
        <v>68</v>
      </c>
      <c r="B83" s="215">
        <f>B78-B81-B82</f>
        <v>1021544.0844350001</v>
      </c>
      <c r="C83" s="215">
        <f t="shared" ref="C83:I83" si="18">C78-C81-C82</f>
        <v>0</v>
      </c>
      <c r="D83" s="215">
        <f t="shared" si="18"/>
        <v>0</v>
      </c>
      <c r="E83" s="215">
        <f>E78-E81-E82</f>
        <v>0</v>
      </c>
      <c r="F83" s="216">
        <f t="shared" si="18"/>
        <v>1021544.0844350001</v>
      </c>
      <c r="G83" s="309">
        <f t="shared" ref="G83" si="19">F83/$F$32</f>
        <v>0.23094832375961588</v>
      </c>
      <c r="H83" s="216">
        <f t="shared" si="18"/>
        <v>2702.4975778703702</v>
      </c>
      <c r="I83" s="216">
        <f t="shared" si="18"/>
        <v>676664.4299999997</v>
      </c>
      <c r="J83" s="312">
        <f>I83/$I$32</f>
        <v>0.18846449851730351</v>
      </c>
    </row>
    <row r="84" spans="1:11" x14ac:dyDescent="0.35">
      <c r="A84" s="221" t="s">
        <v>455</v>
      </c>
      <c r="B84" s="295">
        <f>851935.483870968/2</f>
        <v>425967.74193548399</v>
      </c>
      <c r="C84" s="202"/>
      <c r="D84" s="202"/>
      <c r="E84" s="202"/>
      <c r="F84" s="254">
        <f t="shared" ref="F84:F86" si="20">SUM(B84:E84)</f>
        <v>425967.74193548399</v>
      </c>
      <c r="G84" s="310"/>
      <c r="H84" s="54">
        <f t="shared" si="12"/>
        <v>1126.8987881891112</v>
      </c>
      <c r="I84" s="254"/>
      <c r="J84" s="310"/>
    </row>
    <row r="85" spans="1:11" x14ac:dyDescent="0.35">
      <c r="A85" s="221" t="s">
        <v>71</v>
      </c>
      <c r="B85" s="301">
        <f>B84*0.06</f>
        <v>25558.064516129038</v>
      </c>
      <c r="C85" s="219"/>
      <c r="D85" s="219"/>
      <c r="E85" s="219"/>
      <c r="F85" s="302">
        <f t="shared" si="20"/>
        <v>25558.064516129038</v>
      </c>
      <c r="G85" s="311"/>
      <c r="H85" s="54">
        <f t="shared" si="12"/>
        <v>67.613927291346656</v>
      </c>
      <c r="I85" s="302"/>
      <c r="J85" s="311"/>
    </row>
    <row r="86" spans="1:11" x14ac:dyDescent="0.35">
      <c r="A86" s="221" t="s">
        <v>330</v>
      </c>
      <c r="B86" s="219"/>
      <c r="C86" s="219"/>
      <c r="D86" s="219"/>
      <c r="E86" s="219"/>
      <c r="F86" s="220">
        <f t="shared" si="20"/>
        <v>0</v>
      </c>
      <c r="G86" s="312"/>
      <c r="H86" s="54">
        <f t="shared" si="12"/>
        <v>0</v>
      </c>
      <c r="I86" s="220"/>
      <c r="J86" s="312"/>
    </row>
    <row r="87" spans="1:11" ht="15" thickBot="1" x14ac:dyDescent="0.4">
      <c r="A87" s="217" t="s">
        <v>72</v>
      </c>
      <c r="B87" s="218">
        <f>B83-B84</f>
        <v>595576.34249951609</v>
      </c>
      <c r="C87" s="218">
        <f t="shared" ref="C87:E87" si="21">C83</f>
        <v>0</v>
      </c>
      <c r="D87" s="218">
        <f t="shared" si="21"/>
        <v>0</v>
      </c>
      <c r="E87" s="218">
        <f t="shared" si="21"/>
        <v>0</v>
      </c>
      <c r="F87" s="218">
        <f>F83-F84</f>
        <v>595576.34249951609</v>
      </c>
      <c r="G87" s="313">
        <f t="shared" ref="G87" si="22">F87/$F$32</f>
        <v>0.13464652193372681</v>
      </c>
      <c r="H87" s="218">
        <f t="shared" ref="H87:I87" si="23">H83-H84</f>
        <v>1575.5987896812589</v>
      </c>
      <c r="I87" s="218">
        <f t="shared" si="23"/>
        <v>676664.4299999997</v>
      </c>
      <c r="J87" s="315">
        <f>I87/$I$32</f>
        <v>0.18846449851730351</v>
      </c>
    </row>
    <row r="88" spans="1:11" ht="15" thickTop="1" x14ac:dyDescent="0.35">
      <c r="B88" s="124">
        <f>B87/B32</f>
        <v>0.15396164557876943</v>
      </c>
      <c r="C88" s="124">
        <f>C87/C32</f>
        <v>0</v>
      </c>
      <c r="D88" s="124"/>
      <c r="E88" s="124"/>
      <c r="F88" s="97">
        <f>F87/F32</f>
        <v>0.13464652193372681</v>
      </c>
      <c r="G88" s="97"/>
      <c r="H88" s="97"/>
      <c r="I88" s="97">
        <f>I87/I32</f>
        <v>0.18846449851730351</v>
      </c>
      <c r="J88" s="97"/>
    </row>
    <row r="90" spans="1:11" x14ac:dyDescent="0.35">
      <c r="A90" s="138"/>
      <c r="B90" s="53"/>
    </row>
    <row r="91" spans="1:11" x14ac:dyDescent="0.35">
      <c r="A91" s="138"/>
    </row>
    <row r="92" spans="1:11" x14ac:dyDescent="0.35">
      <c r="A92" s="214"/>
    </row>
  </sheetData>
  <conditionalFormatting sqref="A92">
    <cfRule type="cellIs" dxfId="5" priority="9" operator="between">
      <formula>$B$91</formula>
      <formula>#REF!</formula>
    </cfRule>
  </conditionalFormatting>
  <conditionalFormatting sqref="B92">
    <cfRule type="cellIs" dxfId="4" priority="10" operator="greaterThan">
      <formula>$B$91</formula>
    </cfRule>
    <cfRule type="cellIs" dxfId="3" priority="11" operator="lessThan">
      <formula>$B$91</formula>
    </cfRule>
    <cfRule type="cellIs" dxfId="2" priority="12" operator="between">
      <formula>$B$91</formula>
      <formula>$F$87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75B5-3F50-4868-BC0D-E1E367DBA654}">
  <dimension ref="B4:B7"/>
  <sheetViews>
    <sheetView showGridLines="0" workbookViewId="0">
      <selection activeCell="C11" sqref="C11"/>
    </sheetView>
  </sheetViews>
  <sheetFormatPr defaultRowHeight="14.5" x14ac:dyDescent="0.35"/>
  <sheetData>
    <row r="4" spans="2:2" x14ac:dyDescent="0.35">
      <c r="B4" t="s">
        <v>473</v>
      </c>
    </row>
    <row r="5" spans="2:2" x14ac:dyDescent="0.35">
      <c r="B5" t="s">
        <v>470</v>
      </c>
    </row>
    <row r="6" spans="2:2" x14ac:dyDescent="0.35">
      <c r="B6" t="s">
        <v>471</v>
      </c>
    </row>
    <row r="7" spans="2:2" x14ac:dyDescent="0.35">
      <c r="B7" t="s">
        <v>472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DC96-88E3-4FCC-83DE-E4DAC3FCD2CA}">
  <sheetPr>
    <tabColor theme="5" tint="0.59999389629810485"/>
  </sheetPr>
  <dimension ref="A1:D66"/>
  <sheetViews>
    <sheetView showGridLines="0" zoomScale="130" zoomScaleNormal="130" workbookViewId="0">
      <selection activeCell="C14" sqref="C14"/>
    </sheetView>
  </sheetViews>
  <sheetFormatPr defaultColWidth="13.7265625" defaultRowHeight="14.5" x14ac:dyDescent="0.35"/>
  <cols>
    <col min="1" max="1" width="39.90625" bestFit="1" customWidth="1"/>
    <col min="4" max="4" width="37.54296875" bestFit="1" customWidth="1"/>
  </cols>
  <sheetData>
    <row r="1" spans="1:4" x14ac:dyDescent="0.35">
      <c r="A1" s="260" t="s">
        <v>411</v>
      </c>
    </row>
    <row r="2" spans="1:4" x14ac:dyDescent="0.35">
      <c r="A2" s="261"/>
      <c r="D2" s="277" t="s">
        <v>429</v>
      </c>
    </row>
    <row r="3" spans="1:4" x14ac:dyDescent="0.35">
      <c r="A3" s="262" t="s">
        <v>412</v>
      </c>
      <c r="B3" s="263" t="s">
        <v>394</v>
      </c>
      <c r="C3" s="263" t="s">
        <v>395</v>
      </c>
    </row>
    <row r="4" spans="1:4" x14ac:dyDescent="0.35">
      <c r="A4" s="34" t="s">
        <v>413</v>
      </c>
      <c r="B4" s="143">
        <v>698</v>
      </c>
      <c r="C4" s="143">
        <f t="shared" ref="C4:C10" si="0">B4*12</f>
        <v>8376</v>
      </c>
    </row>
    <row r="5" spans="1:4" x14ac:dyDescent="0.35">
      <c r="A5" s="34" t="s">
        <v>414</v>
      </c>
      <c r="B5" s="143">
        <v>380</v>
      </c>
      <c r="C5" s="143">
        <f t="shared" si="0"/>
        <v>4560</v>
      </c>
    </row>
    <row r="6" spans="1:4" x14ac:dyDescent="0.35">
      <c r="A6" s="34" t="s">
        <v>415</v>
      </c>
      <c r="B6" s="143">
        <v>3379</v>
      </c>
      <c r="C6" s="143">
        <f t="shared" si="0"/>
        <v>40548</v>
      </c>
    </row>
    <row r="7" spans="1:4" x14ac:dyDescent="0.35">
      <c r="A7" s="34" t="s">
        <v>416</v>
      </c>
      <c r="B7" s="143">
        <v>298</v>
      </c>
      <c r="C7" s="143">
        <f t="shared" si="0"/>
        <v>3576</v>
      </c>
    </row>
    <row r="8" spans="1:4" x14ac:dyDescent="0.35">
      <c r="A8" s="34" t="s">
        <v>417</v>
      </c>
      <c r="B8" s="143">
        <v>657</v>
      </c>
      <c r="C8" s="143">
        <f t="shared" si="0"/>
        <v>7884</v>
      </c>
    </row>
    <row r="9" spans="1:4" x14ac:dyDescent="0.35">
      <c r="A9" s="34" t="s">
        <v>427</v>
      </c>
      <c r="B9" s="143">
        <v>3175</v>
      </c>
      <c r="C9" s="143">
        <f t="shared" si="0"/>
        <v>38100</v>
      </c>
      <c r="D9" s="90"/>
    </row>
    <row r="10" spans="1:4" x14ac:dyDescent="0.35">
      <c r="A10" s="34" t="s">
        <v>428</v>
      </c>
      <c r="B10" s="143">
        <v>277</v>
      </c>
      <c r="C10" s="143">
        <f t="shared" si="0"/>
        <v>3324</v>
      </c>
      <c r="D10" s="90"/>
    </row>
    <row r="11" spans="1:4" x14ac:dyDescent="0.35">
      <c r="A11" s="34"/>
      <c r="B11" s="143"/>
      <c r="C11" s="264">
        <f>SUM(C4:C10)</f>
        <v>106368</v>
      </c>
    </row>
    <row r="12" spans="1:4" x14ac:dyDescent="0.35">
      <c r="A12" s="265" t="s">
        <v>418</v>
      </c>
      <c r="B12" s="143"/>
      <c r="C12" s="264">
        <f>C11*0.03</f>
        <v>3191.04</v>
      </c>
    </row>
    <row r="13" spans="1:4" x14ac:dyDescent="0.35">
      <c r="A13" s="265" t="s">
        <v>0</v>
      </c>
      <c r="B13" s="143"/>
      <c r="C13" s="266">
        <v>110000</v>
      </c>
    </row>
    <row r="15" spans="1:4" x14ac:dyDescent="0.35">
      <c r="A15" s="262" t="s">
        <v>419</v>
      </c>
      <c r="B15" s="263" t="s">
        <v>394</v>
      </c>
      <c r="C15" s="263" t="s">
        <v>395</v>
      </c>
    </row>
    <row r="16" spans="1:4" x14ac:dyDescent="0.35">
      <c r="A16" s="34" t="s">
        <v>420</v>
      </c>
      <c r="B16" s="143"/>
      <c r="C16" s="143">
        <f>B16*12</f>
        <v>0</v>
      </c>
    </row>
    <row r="17" spans="1:4" x14ac:dyDescent="0.35">
      <c r="A17" s="34" t="s">
        <v>448</v>
      </c>
      <c r="B17" s="143">
        <v>3531.72</v>
      </c>
      <c r="C17" s="143">
        <f t="shared" ref="C17:C21" si="1">B17*12</f>
        <v>42380.639999999999</v>
      </c>
    </row>
    <row r="18" spans="1:4" x14ac:dyDescent="0.35">
      <c r="A18" s="34" t="s">
        <v>421</v>
      </c>
      <c r="B18" s="143">
        <v>1355.25</v>
      </c>
      <c r="C18" s="143">
        <f t="shared" si="1"/>
        <v>16263</v>
      </c>
    </row>
    <row r="19" spans="1:4" x14ac:dyDescent="0.35">
      <c r="A19" s="34" t="s">
        <v>431</v>
      </c>
      <c r="B19" s="143">
        <v>340</v>
      </c>
      <c r="C19" s="143">
        <f t="shared" si="1"/>
        <v>4080</v>
      </c>
    </row>
    <row r="20" spans="1:4" x14ac:dyDescent="0.35">
      <c r="A20" s="34" t="s">
        <v>432</v>
      </c>
      <c r="B20" s="143">
        <v>3141.88</v>
      </c>
      <c r="C20" s="143">
        <f t="shared" si="1"/>
        <v>37702.559999999998</v>
      </c>
    </row>
    <row r="21" spans="1:4" x14ac:dyDescent="0.35">
      <c r="A21" s="34" t="s">
        <v>433</v>
      </c>
      <c r="B21" s="143">
        <v>500</v>
      </c>
      <c r="C21" s="143">
        <f t="shared" si="1"/>
        <v>6000</v>
      </c>
      <c r="D21" s="277" t="s">
        <v>434</v>
      </c>
    </row>
    <row r="22" spans="1:4" x14ac:dyDescent="0.35">
      <c r="A22" s="34"/>
      <c r="B22" s="143"/>
      <c r="C22" s="264">
        <f>SUM(C16:C21)</f>
        <v>106426.2</v>
      </c>
      <c r="D22" s="91"/>
    </row>
    <row r="23" spans="1:4" x14ac:dyDescent="0.35">
      <c r="A23" s="265" t="s">
        <v>418</v>
      </c>
      <c r="B23" s="34"/>
      <c r="C23" s="279">
        <f>C22*0.03</f>
        <v>3192.7859999999996</v>
      </c>
    </row>
    <row r="24" spans="1:4" x14ac:dyDescent="0.35">
      <c r="A24" s="265" t="s">
        <v>0</v>
      </c>
      <c r="B24" s="34"/>
      <c r="C24" s="280">
        <f>C22+C23</f>
        <v>109618.98599999999</v>
      </c>
    </row>
    <row r="25" spans="1:4" x14ac:dyDescent="0.35">
      <c r="C25" s="267"/>
    </row>
    <row r="26" spans="1:4" x14ac:dyDescent="0.35">
      <c r="A26" s="262"/>
      <c r="B26" s="268"/>
      <c r="C26" s="268"/>
      <c r="D26" s="90"/>
    </row>
    <row r="27" spans="1:4" x14ac:dyDescent="0.35">
      <c r="A27" s="269"/>
      <c r="B27" s="270"/>
      <c r="C27" s="270"/>
    </row>
    <row r="28" spans="1:4" x14ac:dyDescent="0.35">
      <c r="A28" s="268"/>
      <c r="B28" s="296"/>
      <c r="C28" s="296"/>
    </row>
    <row r="29" spans="1:4" x14ac:dyDescent="0.35">
      <c r="A29" s="268"/>
      <c r="B29" s="296"/>
      <c r="C29" s="296"/>
    </row>
    <row r="30" spans="1:4" x14ac:dyDescent="0.35">
      <c r="A30" s="265"/>
      <c r="B30" s="271"/>
      <c r="C30" s="272"/>
    </row>
    <row r="33" spans="1:4" x14ac:dyDescent="0.35">
      <c r="A33" s="262" t="s">
        <v>369</v>
      </c>
      <c r="B33" s="263" t="s">
        <v>394</v>
      </c>
      <c r="C33" s="263" t="s">
        <v>395</v>
      </c>
      <c r="D33" s="90"/>
    </row>
    <row r="34" spans="1:4" x14ac:dyDescent="0.35">
      <c r="A34" s="34" t="s">
        <v>422</v>
      </c>
      <c r="B34" s="143">
        <v>4590</v>
      </c>
      <c r="C34" s="143">
        <f>B34*10</f>
        <v>45900</v>
      </c>
    </row>
    <row r="35" spans="1:4" x14ac:dyDescent="0.35">
      <c r="A35" s="265" t="s">
        <v>0</v>
      </c>
      <c r="B35" s="143"/>
      <c r="C35" s="266">
        <f>SUM(C34:C34)</f>
        <v>45900</v>
      </c>
    </row>
    <row r="37" spans="1:4" x14ac:dyDescent="0.35">
      <c r="A37" s="262" t="s">
        <v>52</v>
      </c>
      <c r="B37" s="263" t="s">
        <v>394</v>
      </c>
      <c r="C37" s="263" t="s">
        <v>395</v>
      </c>
    </row>
    <row r="38" spans="1:4" x14ac:dyDescent="0.35">
      <c r="A38" s="34"/>
      <c r="B38" s="143"/>
      <c r="C38" s="143">
        <v>0</v>
      </c>
    </row>
    <row r="39" spans="1:4" x14ac:dyDescent="0.35">
      <c r="A39" s="34"/>
      <c r="B39" s="143"/>
      <c r="C39" s="143">
        <f t="shared" ref="C39:C41" si="2">B39*12</f>
        <v>0</v>
      </c>
    </row>
    <row r="40" spans="1:4" x14ac:dyDescent="0.35">
      <c r="A40" s="34" t="s">
        <v>443</v>
      </c>
      <c r="B40" s="143">
        <v>90</v>
      </c>
      <c r="C40" s="143">
        <f t="shared" si="2"/>
        <v>1080</v>
      </c>
    </row>
    <row r="41" spans="1:4" x14ac:dyDescent="0.35">
      <c r="A41" s="34" t="s">
        <v>423</v>
      </c>
      <c r="B41" s="143">
        <v>109.91</v>
      </c>
      <c r="C41" s="143">
        <f t="shared" si="2"/>
        <v>1318.92</v>
      </c>
    </row>
    <row r="42" spans="1:4" x14ac:dyDescent="0.35">
      <c r="A42" s="34"/>
      <c r="B42" s="143"/>
      <c r="C42" s="266">
        <f>SUM(C38:C41)</f>
        <v>2398.92</v>
      </c>
    </row>
    <row r="43" spans="1:4" x14ac:dyDescent="0.35">
      <c r="A43" s="265" t="s">
        <v>418</v>
      </c>
      <c r="B43" s="143"/>
      <c r="C43" s="266">
        <f>C42*0.03</f>
        <v>71.967600000000004</v>
      </c>
    </row>
    <row r="44" spans="1:4" x14ac:dyDescent="0.35">
      <c r="A44" s="265" t="s">
        <v>0</v>
      </c>
      <c r="B44" s="143"/>
      <c r="C44" s="266">
        <f>C42+C43</f>
        <v>2470.8876</v>
      </c>
      <c r="D44" s="277" t="s">
        <v>444</v>
      </c>
    </row>
    <row r="45" spans="1:4" x14ac:dyDescent="0.35">
      <c r="B45" s="254"/>
      <c r="C45" s="220"/>
    </row>
    <row r="46" spans="1:4" x14ac:dyDescent="0.35">
      <c r="A46" s="262" t="s">
        <v>424</v>
      </c>
      <c r="B46" s="263" t="s">
        <v>394</v>
      </c>
      <c r="C46" s="263" t="s">
        <v>395</v>
      </c>
    </row>
    <row r="47" spans="1:4" x14ac:dyDescent="0.35">
      <c r="A47" s="34" t="s">
        <v>425</v>
      </c>
      <c r="B47" s="143">
        <v>369.55</v>
      </c>
      <c r="C47" s="143">
        <f t="shared" ref="C47:C48" si="3">B47*12</f>
        <v>4434.6000000000004</v>
      </c>
    </row>
    <row r="48" spans="1:4" x14ac:dyDescent="0.35">
      <c r="A48" s="34" t="s">
        <v>445</v>
      </c>
      <c r="B48" s="143">
        <v>230</v>
      </c>
      <c r="C48" s="143">
        <f t="shared" si="3"/>
        <v>2760</v>
      </c>
    </row>
    <row r="49" spans="1:4" x14ac:dyDescent="0.35">
      <c r="A49" s="34"/>
      <c r="B49" s="143"/>
      <c r="C49" s="264">
        <f>SUM(C47:C48)</f>
        <v>7194.6</v>
      </c>
    </row>
    <row r="50" spans="1:4" x14ac:dyDescent="0.35">
      <c r="A50" s="265" t="s">
        <v>418</v>
      </c>
      <c r="B50" s="143"/>
      <c r="C50" s="264">
        <f>C49*0.03</f>
        <v>215.83799999999999</v>
      </c>
    </row>
    <row r="51" spans="1:4" x14ac:dyDescent="0.35">
      <c r="A51" s="265" t="s">
        <v>0</v>
      </c>
      <c r="B51" s="143"/>
      <c r="C51" s="266">
        <f>C49+C50</f>
        <v>7410.4380000000001</v>
      </c>
    </row>
    <row r="54" spans="1:4" x14ac:dyDescent="0.35">
      <c r="A54" s="262" t="s">
        <v>58</v>
      </c>
      <c r="B54" s="273" t="s">
        <v>394</v>
      </c>
      <c r="C54" s="273" t="s">
        <v>395</v>
      </c>
    </row>
    <row r="55" spans="1:4" x14ac:dyDescent="0.35">
      <c r="A55" s="274" t="s">
        <v>457</v>
      </c>
      <c r="B55" s="275"/>
      <c r="C55" s="275">
        <v>10000</v>
      </c>
      <c r="D55" t="s">
        <v>458</v>
      </c>
    </row>
    <row r="56" spans="1:4" x14ac:dyDescent="0.35">
      <c r="A56" s="274"/>
      <c r="B56" s="275"/>
      <c r="C56" s="275"/>
    </row>
    <row r="57" spans="1:4" x14ac:dyDescent="0.35">
      <c r="A57" s="265" t="s">
        <v>0</v>
      </c>
      <c r="B57" s="275"/>
      <c r="C57" s="276">
        <f>SUM(C55:C56)</f>
        <v>10000</v>
      </c>
    </row>
    <row r="60" spans="1:4" x14ac:dyDescent="0.35">
      <c r="A60" s="262" t="s">
        <v>59</v>
      </c>
      <c r="B60" s="263" t="s">
        <v>394</v>
      </c>
      <c r="C60" s="263" t="s">
        <v>395</v>
      </c>
    </row>
    <row r="61" spans="1:4" x14ac:dyDescent="0.35">
      <c r="A61" s="34" t="s">
        <v>305</v>
      </c>
      <c r="B61" s="143">
        <v>165</v>
      </c>
      <c r="C61" s="143">
        <f>B61*12</f>
        <v>1980</v>
      </c>
    </row>
    <row r="62" spans="1:4" x14ac:dyDescent="0.35">
      <c r="A62" s="34" t="s">
        <v>446</v>
      </c>
      <c r="B62" s="143"/>
      <c r="C62" s="143">
        <v>1590</v>
      </c>
    </row>
    <row r="63" spans="1:4" x14ac:dyDescent="0.35">
      <c r="A63" s="34" t="s">
        <v>426</v>
      </c>
      <c r="B63" s="143">
        <v>174</v>
      </c>
      <c r="C63" s="143">
        <f>B63*12</f>
        <v>2088</v>
      </c>
    </row>
    <row r="64" spans="1:4" x14ac:dyDescent="0.35">
      <c r="A64" s="274" t="s">
        <v>299</v>
      </c>
      <c r="B64" s="275"/>
      <c r="C64" s="275">
        <v>5000</v>
      </c>
    </row>
    <row r="65" spans="1:3" x14ac:dyDescent="0.35">
      <c r="A65" s="34"/>
      <c r="B65" s="143"/>
      <c r="C65" s="143"/>
    </row>
    <row r="66" spans="1:3" x14ac:dyDescent="0.35">
      <c r="A66" s="265" t="s">
        <v>0</v>
      </c>
      <c r="B66" s="143"/>
      <c r="C66" s="266">
        <f>SUM(C61:C65)</f>
        <v>10658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9998-BC75-42B8-80D7-6C7713A0E84F}">
  <dimension ref="A1:O2"/>
  <sheetViews>
    <sheetView workbookViewId="0">
      <selection activeCell="E1" sqref="E1"/>
    </sheetView>
  </sheetViews>
  <sheetFormatPr defaultRowHeight="14.5" x14ac:dyDescent="0.35"/>
  <cols>
    <col min="2" max="2" width="11.7265625" customWidth="1"/>
    <col min="3" max="3" width="11.81640625" customWidth="1"/>
    <col min="4" max="4" width="11.7265625" customWidth="1"/>
    <col min="8" max="8" width="11.1796875" customWidth="1"/>
    <col min="9" max="9" width="12.7265625" customWidth="1"/>
    <col min="11" max="11" width="12.7265625" customWidth="1"/>
    <col min="12" max="12" width="12.453125" customWidth="1"/>
    <col min="13" max="13" width="11.54296875" bestFit="1" customWidth="1"/>
    <col min="14" max="14" width="12.453125" customWidth="1"/>
    <col min="15" max="15" width="12.7265625" customWidth="1"/>
  </cols>
  <sheetData>
    <row r="1" spans="1:15" ht="60" thickBot="1" x14ac:dyDescent="0.55000000000000004">
      <c r="A1" s="213" t="s">
        <v>73</v>
      </c>
      <c r="B1" s="213" t="s">
        <v>74</v>
      </c>
      <c r="C1" s="213" t="s">
        <v>75</v>
      </c>
      <c r="D1" s="213" t="s">
        <v>76</v>
      </c>
      <c r="E1" s="204" t="s">
        <v>373</v>
      </c>
      <c r="G1" s="203" t="s">
        <v>77</v>
      </c>
      <c r="H1" s="204" t="s">
        <v>76</v>
      </c>
      <c r="I1" s="204" t="s">
        <v>78</v>
      </c>
      <c r="J1" s="205"/>
      <c r="K1" s="203" t="s">
        <v>78</v>
      </c>
      <c r="L1" s="204" t="s">
        <v>79</v>
      </c>
      <c r="M1" s="204" t="s">
        <v>80</v>
      </c>
      <c r="N1" s="206">
        <v>0.8</v>
      </c>
      <c r="O1" s="207" t="s">
        <v>81</v>
      </c>
    </row>
    <row r="2" spans="1:15" x14ac:dyDescent="0.35">
      <c r="A2" s="237" t="s">
        <v>167</v>
      </c>
      <c r="B2" s="146">
        <v>1184.58</v>
      </c>
      <c r="C2" s="146">
        <v>1361.39</v>
      </c>
      <c r="D2" s="147">
        <v>1545.01</v>
      </c>
      <c r="E2" s="147"/>
      <c r="F2" s="91"/>
      <c r="G2" s="209">
        <f>'Overall Budget'!B2</f>
        <v>378</v>
      </c>
      <c r="H2" s="238">
        <v>1684.0609000000002</v>
      </c>
      <c r="I2" s="239">
        <f>G2*H2</f>
        <v>636575.02020000003</v>
      </c>
      <c r="J2" s="28"/>
      <c r="K2" s="211">
        <f>I2</f>
        <v>636575.02020000003</v>
      </c>
      <c r="L2" s="208">
        <f>G2*699.2</f>
        <v>264297.60000000003</v>
      </c>
      <c r="M2" s="210">
        <f>K2-L2</f>
        <v>372277.42019999999</v>
      </c>
      <c r="N2" s="211">
        <f>M2*0.8</f>
        <v>297821.93615999998</v>
      </c>
      <c r="O2" s="212">
        <f>N2</f>
        <v>297821.93615999998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259A-D093-4340-B470-231D5272CB1E}">
  <sheetPr>
    <tabColor rgb="FF0070C0"/>
  </sheetPr>
  <dimension ref="A1:AO89"/>
  <sheetViews>
    <sheetView zoomScale="130" zoomScaleNormal="130" workbookViewId="0">
      <pane ySplit="1" topLeftCell="A2" activePane="bottomLeft" state="frozen"/>
      <selection activeCell="B1" sqref="B1"/>
      <selection pane="bottomLeft" activeCell="V5" sqref="V5"/>
    </sheetView>
  </sheetViews>
  <sheetFormatPr defaultRowHeight="14.5" x14ac:dyDescent="0.35"/>
  <cols>
    <col min="1" max="1" width="14.81640625" bestFit="1" customWidth="1"/>
    <col min="2" max="2" width="13.453125" customWidth="1"/>
    <col min="4" max="4" width="8.81640625" customWidth="1"/>
    <col min="5" max="5" width="8.81640625" hidden="1" customWidth="1"/>
    <col min="6" max="6" width="11.26953125" hidden="1" customWidth="1"/>
    <col min="7" max="7" width="17.54296875" bestFit="1" customWidth="1"/>
    <col min="8" max="8" width="36.26953125" customWidth="1"/>
    <col min="9" max="9" width="13.81640625" bestFit="1" customWidth="1"/>
    <col min="10" max="10" width="10.6328125" bestFit="1" customWidth="1"/>
    <col min="11" max="11" width="8.81640625" customWidth="1"/>
    <col min="12" max="15" width="8.81640625" hidden="1" customWidth="1"/>
    <col min="16" max="16" width="18.26953125" customWidth="1"/>
    <col min="17" max="17" width="10.81640625" customWidth="1"/>
    <col min="18" max="18" width="9" customWidth="1"/>
    <col min="19" max="19" width="11.7265625" bestFit="1" customWidth="1"/>
    <col min="20" max="21" width="12.453125" customWidth="1"/>
    <col min="22" max="22" width="16.81640625" customWidth="1"/>
    <col min="23" max="23" width="8.81640625" customWidth="1"/>
    <col min="24" max="24" width="12.54296875" bestFit="1" customWidth="1"/>
    <col min="25" max="26" width="11.453125" bestFit="1" customWidth="1"/>
    <col min="27" max="27" width="14.1796875" bestFit="1" customWidth="1"/>
    <col min="28" max="29" width="8.81640625" customWidth="1"/>
    <col min="30" max="31" width="10.6328125" bestFit="1" customWidth="1"/>
    <col min="32" max="32" width="9" customWidth="1"/>
    <col min="33" max="33" width="14.1796875" bestFit="1" customWidth="1"/>
    <col min="34" max="34" width="38" customWidth="1"/>
    <col min="35" max="35" width="12.81640625" bestFit="1" customWidth="1"/>
    <col min="36" max="36" width="19.26953125" customWidth="1"/>
    <col min="37" max="37" width="14" customWidth="1"/>
    <col min="38" max="38" width="30.26953125" customWidth="1"/>
    <col min="39" max="39" width="13.26953125" customWidth="1"/>
    <col min="40" max="41" width="8.81640625" customWidth="1"/>
  </cols>
  <sheetData>
    <row r="1" spans="1:39" ht="58" x14ac:dyDescent="0.35">
      <c r="A1" s="149" t="s">
        <v>2</v>
      </c>
      <c r="B1" s="149" t="s">
        <v>106</v>
      </c>
      <c r="C1" s="149" t="s">
        <v>107</v>
      </c>
      <c r="D1" s="150" t="s">
        <v>108</v>
      </c>
      <c r="E1" s="150"/>
      <c r="F1" s="150" t="s">
        <v>83</v>
      </c>
      <c r="G1" s="150" t="s">
        <v>84</v>
      </c>
      <c r="H1" s="150" t="s">
        <v>85</v>
      </c>
      <c r="I1" s="240" t="s">
        <v>86</v>
      </c>
      <c r="J1" s="150" t="s">
        <v>87</v>
      </c>
      <c r="K1" s="149" t="s">
        <v>88</v>
      </c>
      <c r="L1" s="150" t="s">
        <v>89</v>
      </c>
      <c r="M1" s="149" t="s">
        <v>109</v>
      </c>
      <c r="N1" s="150"/>
      <c r="O1" s="150"/>
      <c r="P1" s="150" t="s">
        <v>91</v>
      </c>
      <c r="Q1" s="149" t="s">
        <v>92</v>
      </c>
      <c r="R1" s="151" t="s">
        <v>93</v>
      </c>
      <c r="S1" s="240" t="s">
        <v>380</v>
      </c>
      <c r="T1" s="240" t="s">
        <v>381</v>
      </c>
      <c r="U1" s="151" t="s">
        <v>6</v>
      </c>
      <c r="V1" s="240" t="s">
        <v>382</v>
      </c>
      <c r="W1" s="151" t="s">
        <v>111</v>
      </c>
      <c r="X1" s="151" t="s">
        <v>95</v>
      </c>
      <c r="Y1" s="151" t="s">
        <v>96</v>
      </c>
      <c r="Z1" s="151" t="s">
        <v>97</v>
      </c>
      <c r="AA1" s="151" t="s">
        <v>112</v>
      </c>
      <c r="AB1" s="151" t="s">
        <v>113</v>
      </c>
      <c r="AC1" s="151" t="s">
        <v>114</v>
      </c>
      <c r="AD1" s="151" t="s">
        <v>115</v>
      </c>
      <c r="AE1" s="151" t="s">
        <v>116</v>
      </c>
      <c r="AF1" s="151"/>
      <c r="AH1" s="168" t="s">
        <v>117</v>
      </c>
      <c r="AI1" s="169">
        <f>SUM(R:R)</f>
        <v>1160455</v>
      </c>
      <c r="AJ1" s="190" t="s">
        <v>118</v>
      </c>
      <c r="AK1" s="226" t="s">
        <v>119</v>
      </c>
      <c r="AL1" s="228"/>
      <c r="AM1" s="228"/>
    </row>
    <row r="2" spans="1:39" x14ac:dyDescent="0.35">
      <c r="A2" s="167" t="str">
        <f>B4</f>
        <v>Admin Team</v>
      </c>
      <c r="B2" s="167"/>
      <c r="C2" s="167"/>
      <c r="D2" s="167"/>
      <c r="E2" s="167"/>
      <c r="F2" s="167"/>
      <c r="G2" s="167"/>
      <c r="H2" s="167"/>
      <c r="I2" s="132"/>
      <c r="J2" s="167"/>
      <c r="K2" s="167"/>
      <c r="L2" s="167"/>
      <c r="M2" s="167"/>
      <c r="N2" s="167"/>
      <c r="O2" s="167"/>
      <c r="P2" s="167"/>
      <c r="Q2" s="167"/>
      <c r="R2" s="167"/>
      <c r="S2" s="132"/>
      <c r="T2" s="241"/>
      <c r="U2" s="167"/>
      <c r="V2" s="132"/>
      <c r="W2" s="167"/>
      <c r="X2" s="167"/>
      <c r="Y2" s="90"/>
      <c r="Z2" s="90"/>
      <c r="AA2" s="167"/>
      <c r="AB2" s="167"/>
      <c r="AC2" s="167"/>
      <c r="AD2" s="167"/>
      <c r="AE2" s="167"/>
      <c r="AF2" s="167"/>
      <c r="AH2" s="170" t="s">
        <v>120</v>
      </c>
      <c r="AI2" s="225">
        <f>SUMIFS(R:R,Q:Q,"Operating")</f>
        <v>1067455</v>
      </c>
      <c r="AJ2" s="191" t="s">
        <v>31</v>
      </c>
      <c r="AK2" s="227" t="s">
        <v>3</v>
      </c>
      <c r="AL2" s="228"/>
      <c r="AM2" s="228"/>
    </row>
    <row r="3" spans="1:39" x14ac:dyDescent="0.35">
      <c r="A3" s="167"/>
      <c r="B3" t="s">
        <v>82</v>
      </c>
      <c r="F3" s="152"/>
      <c r="G3" s="223"/>
      <c r="H3" s="255" t="s">
        <v>370</v>
      </c>
      <c r="I3" s="243"/>
      <c r="J3" s="155"/>
      <c r="K3" s="156"/>
      <c r="L3" s="157"/>
      <c r="M3" s="154"/>
      <c r="N3" s="154"/>
      <c r="O3" s="158"/>
      <c r="P3" s="158"/>
      <c r="R3" s="54">
        <f>I3</f>
        <v>0</v>
      </c>
      <c r="S3" s="116"/>
      <c r="T3" s="242">
        <f>R3*0.04</f>
        <v>0</v>
      </c>
      <c r="U3" s="54"/>
      <c r="V3" s="116"/>
      <c r="W3" s="54"/>
      <c r="X3" s="54">
        <f>(R3+S3+T3+V3+W3)*0.0765</f>
        <v>0</v>
      </c>
      <c r="Y3" s="122">
        <f>(R3)*0.0452</f>
        <v>0</v>
      </c>
      <c r="Z3" s="122">
        <f>R3*0.075</f>
        <v>0</v>
      </c>
      <c r="AA3" s="53">
        <f>SUM(R3:Z3)</f>
        <v>0</v>
      </c>
      <c r="AD3" s="54"/>
      <c r="AE3" s="54"/>
      <c r="AG3" s="53">
        <f>SUM(AA3:AE3)</f>
        <v>0</v>
      </c>
      <c r="AH3" s="170"/>
      <c r="AI3" s="225"/>
      <c r="AJ3" s="191"/>
      <c r="AK3" s="227"/>
      <c r="AL3" s="228"/>
      <c r="AM3" s="228"/>
    </row>
    <row r="4" spans="1:39" x14ac:dyDescent="0.35">
      <c r="B4" t="s">
        <v>82</v>
      </c>
      <c r="C4" t="s">
        <v>121</v>
      </c>
      <c r="D4" t="s">
        <v>121</v>
      </c>
      <c r="F4" s="152"/>
      <c r="G4" s="251" t="s">
        <v>347</v>
      </c>
      <c r="H4" s="255" t="s">
        <v>98</v>
      </c>
      <c r="I4" s="243">
        <v>91960</v>
      </c>
      <c r="J4" s="155">
        <f>+I4/24</f>
        <v>3831.6666666666665</v>
      </c>
      <c r="K4" s="156" t="s">
        <v>86</v>
      </c>
      <c r="L4" s="157"/>
      <c r="M4" s="154"/>
      <c r="N4" s="154"/>
      <c r="O4" s="158"/>
      <c r="P4" s="158"/>
      <c r="Q4" t="s">
        <v>3</v>
      </c>
      <c r="R4" s="54">
        <f>IF(D4="Yes",VLOOKUP(A4,Tables!$G$2:$J$22,4,0),1)*IF(K4="Hourly",I4*IF(C4="Yes",4,8)*217,I4)</f>
        <v>91960</v>
      </c>
      <c r="S4" s="116">
        <v>6000</v>
      </c>
      <c r="T4" s="242">
        <v>10000</v>
      </c>
      <c r="U4" s="250">
        <v>3000</v>
      </c>
      <c r="V4" s="116"/>
      <c r="W4" s="54"/>
      <c r="X4" s="54">
        <f>(R4+S4+T4+V4+W4)*0.0765</f>
        <v>8258.94</v>
      </c>
      <c r="Y4" s="122">
        <f>(R4)*0.0452</f>
        <v>4156.5919999999996</v>
      </c>
      <c r="Z4" s="122">
        <f t="shared" ref="Z4:Z5" si="0">R4*0.075</f>
        <v>6897</v>
      </c>
      <c r="AA4" s="53">
        <f>SUM(R4:Z4)</f>
        <v>130272.53200000001</v>
      </c>
      <c r="AD4" s="54">
        <f t="shared" ref="AD4" si="1">U4*0.0765</f>
        <v>229.5</v>
      </c>
      <c r="AE4" s="54">
        <f t="shared" ref="AE4" si="2">U4*0.0452</f>
        <v>135.6</v>
      </c>
      <c r="AG4" s="53">
        <f t="shared" ref="AG4:AG5" si="3">SUM(AA4:AE4)</f>
        <v>130637.63200000001</v>
      </c>
      <c r="AH4" s="170" t="s">
        <v>94</v>
      </c>
      <c r="AI4" s="171">
        <f>SUMIFS(S:S,Q:Q,"Operating")</f>
        <v>14500</v>
      </c>
      <c r="AJ4" s="191" t="s">
        <v>122</v>
      </c>
      <c r="AK4" s="227" t="s">
        <v>3</v>
      </c>
      <c r="AL4" s="229"/>
      <c r="AM4" s="228"/>
    </row>
    <row r="5" spans="1:39" x14ac:dyDescent="0.35">
      <c r="B5" t="s">
        <v>82</v>
      </c>
      <c r="C5" t="s">
        <v>121</v>
      </c>
      <c r="F5" s="152"/>
      <c r="G5" s="223"/>
      <c r="H5" s="294"/>
      <c r="I5" s="243"/>
      <c r="J5" s="155">
        <f t="shared" ref="J5" si="4">+I5/24</f>
        <v>0</v>
      </c>
      <c r="K5" s="156" t="s">
        <v>86</v>
      </c>
      <c r="L5" s="157"/>
      <c r="M5" s="154"/>
      <c r="N5" s="154"/>
      <c r="O5" s="158"/>
      <c r="P5" s="158"/>
      <c r="Q5" t="s">
        <v>3</v>
      </c>
      <c r="R5" s="54"/>
      <c r="S5" s="116"/>
      <c r="T5" s="242">
        <v>0</v>
      </c>
      <c r="U5" s="122"/>
      <c r="V5" s="250"/>
      <c r="W5" s="54"/>
      <c r="X5" s="54">
        <f>(R5+S5+T5+V5+W5)*0.0765</f>
        <v>0</v>
      </c>
      <c r="Y5" s="122">
        <f t="shared" ref="Y5" si="5">(R5)*0.0452</f>
        <v>0</v>
      </c>
      <c r="Z5" s="122">
        <f t="shared" si="0"/>
        <v>0</v>
      </c>
      <c r="AA5" s="53">
        <f t="shared" ref="AA5" si="6">SUM(R5:Z5)</f>
        <v>0</v>
      </c>
      <c r="AD5" s="54"/>
      <c r="AE5" s="54"/>
      <c r="AG5" s="53">
        <f t="shared" si="3"/>
        <v>0</v>
      </c>
      <c r="AH5" s="170"/>
      <c r="AI5" s="171"/>
      <c r="AJ5" s="191"/>
      <c r="AK5" s="227"/>
      <c r="AL5" s="229"/>
      <c r="AM5" s="228"/>
    </row>
    <row r="6" spans="1:39" x14ac:dyDescent="0.35">
      <c r="B6" t="s">
        <v>82</v>
      </c>
      <c r="C6" t="s">
        <v>121</v>
      </c>
      <c r="D6" t="s">
        <v>371</v>
      </c>
      <c r="F6" s="152"/>
      <c r="G6" s="223" t="s">
        <v>402</v>
      </c>
      <c r="H6" s="256" t="s">
        <v>403</v>
      </c>
      <c r="I6" s="243">
        <v>77625</v>
      </c>
      <c r="J6" s="155">
        <f t="shared" ref="J6:J7" si="7">+I6/24</f>
        <v>3234.375</v>
      </c>
      <c r="K6" s="156" t="s">
        <v>86</v>
      </c>
      <c r="L6" s="157"/>
      <c r="M6" s="154"/>
      <c r="N6" s="154"/>
      <c r="O6" s="158"/>
      <c r="P6" s="158" t="s">
        <v>462</v>
      </c>
      <c r="Q6" t="s">
        <v>3</v>
      </c>
      <c r="R6" s="54">
        <f>I6</f>
        <v>77625</v>
      </c>
      <c r="S6" s="116">
        <f>1500*3</f>
        <v>4500</v>
      </c>
      <c r="T6" s="242">
        <f>R6*0.03</f>
        <v>2328.75</v>
      </c>
      <c r="U6" s="54">
        <v>6000</v>
      </c>
      <c r="V6" s="116">
        <v>1000</v>
      </c>
      <c r="W6" s="54"/>
      <c r="X6" s="54">
        <f t="shared" ref="X6:X7" si="8">(R6+S6+T6+V6+W6)*0.0765</f>
        <v>6537.211875</v>
      </c>
      <c r="Y6" s="122">
        <f t="shared" ref="Y6:Y7" si="9">(R6)*0.0452</f>
        <v>3508.6499999999996</v>
      </c>
      <c r="Z6" s="122">
        <f t="shared" ref="Z6:Z7" si="10">R6*0.075</f>
        <v>5821.875</v>
      </c>
      <c r="AA6" s="53">
        <f t="shared" ref="AA6" si="11">SUM(R6:Z6)</f>
        <v>107321.48687499999</v>
      </c>
      <c r="AD6" s="54"/>
      <c r="AE6" s="54"/>
      <c r="AG6" s="53">
        <f t="shared" ref="AG6:AG7" si="12">SUM(AA6:AE6)</f>
        <v>107321.48687499999</v>
      </c>
      <c r="AH6" s="170"/>
      <c r="AI6" s="171"/>
      <c r="AJ6" s="191"/>
      <c r="AK6" s="227"/>
      <c r="AL6" s="229"/>
      <c r="AM6" s="228"/>
    </row>
    <row r="7" spans="1:39" x14ac:dyDescent="0.35">
      <c r="B7" t="s">
        <v>82</v>
      </c>
      <c r="C7" t="s">
        <v>121</v>
      </c>
      <c r="D7" t="s">
        <v>121</v>
      </c>
      <c r="F7" s="152"/>
      <c r="G7" s="252" t="s">
        <v>366</v>
      </c>
      <c r="H7" s="257" t="s">
        <v>463</v>
      </c>
      <c r="I7" s="243">
        <v>53000</v>
      </c>
      <c r="J7" s="155">
        <f t="shared" si="7"/>
        <v>2208.3333333333335</v>
      </c>
      <c r="K7" s="156" t="s">
        <v>86</v>
      </c>
      <c r="L7" s="157"/>
      <c r="M7" s="154"/>
      <c r="N7" s="160"/>
      <c r="O7" s="158"/>
      <c r="P7" s="158"/>
      <c r="Q7" t="s">
        <v>3</v>
      </c>
      <c r="R7" s="54">
        <f>IF(D7="Yes",VLOOKUP(A7,Tables!$G$2:$J$22,4,0),1)*IF(K7="Hourly",I7*IF(C7="Yes",4,8)*217,I7)</f>
        <v>53000</v>
      </c>
      <c r="S7" s="116">
        <f>(IF(D7="Yes",VLOOKUP(A7,Tables!$G$2:$J$22,4,0),1)*IF(E7="Principal",12000,IF(E7="AP/VP",6000,IF(K7="Hourly",0,IF(OR(M7="Teacher I",M7="Teacher I - ND"),R7*0.02,IF(OR(M7="Teacher III",M7="Teacher II"),R7*0.025,0))))))</f>
        <v>0</v>
      </c>
      <c r="T7" s="242">
        <v>12000</v>
      </c>
      <c r="U7" s="54">
        <v>3575</v>
      </c>
      <c r="V7" s="116">
        <v>2000</v>
      </c>
      <c r="W7" s="54"/>
      <c r="X7" s="54">
        <f t="shared" si="8"/>
        <v>5125.5</v>
      </c>
      <c r="Y7" s="122">
        <f t="shared" si="9"/>
        <v>2395.6</v>
      </c>
      <c r="Z7" s="122">
        <f t="shared" si="10"/>
        <v>3975</v>
      </c>
      <c r="AA7" s="53">
        <f>SUM(R7:Z7)</f>
        <v>82071.100000000006</v>
      </c>
      <c r="AD7" s="54">
        <f t="shared" ref="AD7" si="13">U7*0.0765</f>
        <v>273.48750000000001</v>
      </c>
      <c r="AE7" s="54">
        <f t="shared" ref="AE7" si="14">U7*0.0452</f>
        <v>161.59</v>
      </c>
      <c r="AG7" s="53">
        <f t="shared" si="12"/>
        <v>82506.177500000005</v>
      </c>
      <c r="AI7" s="171"/>
      <c r="AJ7" s="192"/>
      <c r="AK7" s="227"/>
      <c r="AL7" s="229"/>
      <c r="AM7" s="230"/>
    </row>
    <row r="8" spans="1:39" ht="15" customHeight="1" x14ac:dyDescent="0.35">
      <c r="F8" s="152"/>
      <c r="G8" s="223"/>
      <c r="H8" s="255"/>
      <c r="I8" s="243"/>
      <c r="J8" s="155"/>
      <c r="K8" s="156"/>
      <c r="L8" s="157"/>
      <c r="M8" s="154"/>
      <c r="N8" s="154"/>
      <c r="O8" s="158"/>
      <c r="P8" s="158"/>
      <c r="R8" s="54"/>
      <c r="S8" s="116"/>
      <c r="T8" s="242"/>
      <c r="U8" s="54"/>
      <c r="V8" s="116"/>
      <c r="W8" s="54"/>
      <c r="X8" s="54"/>
      <c r="Y8" s="54"/>
      <c r="Z8" s="54"/>
      <c r="AA8" s="53"/>
      <c r="AD8" s="54"/>
      <c r="AE8" s="54"/>
      <c r="AG8" s="53"/>
      <c r="AH8" s="170"/>
      <c r="AI8" s="171"/>
      <c r="AJ8" s="191"/>
      <c r="AK8" s="227"/>
      <c r="AL8" s="229"/>
      <c r="AM8" s="228"/>
    </row>
    <row r="9" spans="1:39" x14ac:dyDescent="0.35">
      <c r="A9" s="167" t="str">
        <f>B10</f>
        <v>Student Support</v>
      </c>
      <c r="B9" s="167"/>
      <c r="C9" s="167"/>
      <c r="D9" s="167"/>
      <c r="E9" s="167"/>
      <c r="F9" s="167"/>
      <c r="G9" s="167"/>
      <c r="H9" s="258"/>
      <c r="I9" s="132"/>
      <c r="J9" s="167"/>
      <c r="K9" s="167"/>
      <c r="L9" s="167"/>
      <c r="M9" s="167"/>
      <c r="N9" s="167"/>
      <c r="O9" s="167"/>
      <c r="P9" s="167"/>
      <c r="Q9" s="167"/>
      <c r="R9" s="167"/>
      <c r="S9" s="132"/>
      <c r="T9" s="241"/>
      <c r="U9" s="167"/>
      <c r="V9" s="132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53">
        <f t="shared" ref="AG9:AG35" si="15">SUM(AA9:AE9)</f>
        <v>0</v>
      </c>
      <c r="AH9" s="170" t="s">
        <v>110</v>
      </c>
      <c r="AI9" s="171">
        <f>SUMIFS(T:T,Q:Q,"Operating")</f>
        <v>49934.849999999991</v>
      </c>
      <c r="AJ9" s="191" t="s">
        <v>31</v>
      </c>
      <c r="AK9" s="227" t="s">
        <v>3</v>
      </c>
      <c r="AL9" s="229"/>
      <c r="AM9" s="230"/>
    </row>
    <row r="10" spans="1:39" x14ac:dyDescent="0.35">
      <c r="B10" t="s">
        <v>123</v>
      </c>
      <c r="C10" t="s">
        <v>121</v>
      </c>
      <c r="D10" t="s">
        <v>121</v>
      </c>
      <c r="F10" s="152"/>
      <c r="G10" s="223" t="s">
        <v>450</v>
      </c>
      <c r="H10" s="255" t="s">
        <v>409</v>
      </c>
      <c r="I10" s="243">
        <v>65000</v>
      </c>
      <c r="J10" s="155">
        <f>+I10/24</f>
        <v>2708.3333333333335</v>
      </c>
      <c r="K10" s="156" t="s">
        <v>86</v>
      </c>
      <c r="L10" s="157"/>
      <c r="M10" s="154"/>
      <c r="N10" s="154"/>
      <c r="O10" s="159"/>
      <c r="P10" s="158"/>
      <c r="Q10" t="s">
        <v>3</v>
      </c>
      <c r="R10" s="54">
        <f>IF(D10="Yes",VLOOKUP(A10,Tables!$G$2:$J$22,4,0),1)*IF(K10="Hourly",I10*IF(C10="Yes",4,8)*217,I10)</f>
        <v>65000</v>
      </c>
      <c r="S10" s="116">
        <v>3000</v>
      </c>
      <c r="T10" s="242">
        <f t="shared" ref="T10:T16" si="16">R10*0.04</f>
        <v>2600</v>
      </c>
      <c r="U10" s="54">
        <v>10000</v>
      </c>
      <c r="V10" s="116">
        <v>2000</v>
      </c>
      <c r="W10" s="54"/>
      <c r="X10" s="54">
        <f t="shared" ref="X10:X35" si="17">(R10+S10+T10+V10+W10)*0.0765</f>
        <v>5553.9</v>
      </c>
      <c r="Y10" s="122">
        <f t="shared" ref="Y10" si="18">(R10)*0.0452</f>
        <v>2938</v>
      </c>
      <c r="Z10" s="122">
        <f t="shared" ref="Z10:Z27" si="19">R10*0.075</f>
        <v>4875</v>
      </c>
      <c r="AA10" s="53">
        <f t="shared" ref="AA10:AA16" si="20">SUM(R10:Z10)</f>
        <v>95966.9</v>
      </c>
      <c r="AD10" s="54">
        <f t="shared" ref="AD10:AD12" si="21">U10*0.0765</f>
        <v>765</v>
      </c>
      <c r="AE10" s="54">
        <f t="shared" ref="AE10:AE12" si="22">U10*0.0452</f>
        <v>451.99999999999994</v>
      </c>
      <c r="AG10" s="53">
        <f t="shared" si="15"/>
        <v>97183.9</v>
      </c>
      <c r="AH10" s="170" t="s">
        <v>6</v>
      </c>
      <c r="AI10" s="171">
        <f>SUMIFS(U:U,Q:Q,"Operating")</f>
        <v>63800</v>
      </c>
      <c r="AJ10" s="191" t="s">
        <v>6</v>
      </c>
      <c r="AK10" s="227" t="s">
        <v>6</v>
      </c>
      <c r="AL10" s="229"/>
      <c r="AM10" s="230"/>
    </row>
    <row r="11" spans="1:39" x14ac:dyDescent="0.35">
      <c r="B11" t="s">
        <v>123</v>
      </c>
      <c r="C11" t="s">
        <v>121</v>
      </c>
      <c r="D11" t="s">
        <v>121</v>
      </c>
      <c r="F11" s="152"/>
      <c r="G11" s="154" t="s">
        <v>348</v>
      </c>
      <c r="H11" s="255" t="s">
        <v>349</v>
      </c>
      <c r="I11" s="243">
        <v>56500</v>
      </c>
      <c r="J11" s="155">
        <f>+I11/24</f>
        <v>2354.1666666666665</v>
      </c>
      <c r="K11" s="156" t="s">
        <v>86</v>
      </c>
      <c r="L11" s="157"/>
      <c r="M11" s="154"/>
      <c r="N11" s="160"/>
      <c r="O11" s="159"/>
      <c r="P11" s="158"/>
      <c r="Q11" t="s">
        <v>3</v>
      </c>
      <c r="R11" s="54">
        <f>IF(D11="Yes",VLOOKUP(A11,Tables!$G$2:$J$22,4,0),1)*IF(K11="Hourly",I11*IF(C11="Yes",4,8)*217,I11)</f>
        <v>56500</v>
      </c>
      <c r="S11" s="116"/>
      <c r="T11" s="242">
        <f>R11*0.03</f>
        <v>1695</v>
      </c>
      <c r="U11" s="54">
        <v>2000</v>
      </c>
      <c r="V11" s="116">
        <v>1000</v>
      </c>
      <c r="W11" s="54"/>
      <c r="X11" s="54">
        <f t="shared" ref="X11:X16" si="23">(R11+S11+T11+V11+W11)*0.0765</f>
        <v>4528.4174999999996</v>
      </c>
      <c r="Y11" s="122">
        <f t="shared" ref="Y11:Y16" si="24">(R11)*0.0452</f>
        <v>2553.7999999999997</v>
      </c>
      <c r="Z11" s="122">
        <f t="shared" si="19"/>
        <v>4237.5</v>
      </c>
      <c r="AA11" s="53">
        <f t="shared" si="20"/>
        <v>72514.717499999999</v>
      </c>
      <c r="AD11" s="54">
        <f t="shared" si="21"/>
        <v>153</v>
      </c>
      <c r="AE11" s="54">
        <f t="shared" si="22"/>
        <v>90.399999999999991</v>
      </c>
      <c r="AG11" s="53">
        <f t="shared" si="15"/>
        <v>72758.117499999993</v>
      </c>
      <c r="AH11" s="172" t="s">
        <v>90</v>
      </c>
      <c r="AI11" s="173">
        <f>SUMIFS(V:V,Q:Q,"Operating")</f>
        <v>12500</v>
      </c>
      <c r="AJ11" s="191" t="s">
        <v>122</v>
      </c>
      <c r="AK11" s="227" t="s">
        <v>3</v>
      </c>
      <c r="AL11" s="229"/>
      <c r="AM11" s="230"/>
    </row>
    <row r="12" spans="1:39" x14ac:dyDescent="0.35">
      <c r="B12" t="s">
        <v>123</v>
      </c>
      <c r="C12" t="s">
        <v>121</v>
      </c>
      <c r="D12" t="s">
        <v>121</v>
      </c>
      <c r="F12" s="152"/>
      <c r="G12" s="153" t="s">
        <v>350</v>
      </c>
      <c r="H12" s="255" t="s">
        <v>351</v>
      </c>
      <c r="I12" s="243">
        <v>50000</v>
      </c>
      <c r="J12" s="155">
        <f t="shared" ref="J12" si="25">+I12/24</f>
        <v>2083.3333333333335</v>
      </c>
      <c r="K12" s="156" t="s">
        <v>86</v>
      </c>
      <c r="L12" s="157"/>
      <c r="M12" s="154"/>
      <c r="N12" s="154"/>
      <c r="O12" s="158"/>
      <c r="P12" s="158"/>
      <c r="Q12" t="s">
        <v>3</v>
      </c>
      <c r="R12" s="54">
        <f>IF(D12="Yes",VLOOKUP(A12,Tables!$G$2:$J$22,4,0),1)*IF(K12="Hourly",I12*IF(C12="Yes",4,8)*217,I12)</f>
        <v>50000</v>
      </c>
      <c r="S12" s="116"/>
      <c r="T12" s="242">
        <f t="shared" si="16"/>
        <v>2000</v>
      </c>
      <c r="U12" s="54">
        <v>2000</v>
      </c>
      <c r="V12" s="116">
        <v>1000</v>
      </c>
      <c r="W12" s="54"/>
      <c r="X12" s="54">
        <f t="shared" si="23"/>
        <v>4054.5</v>
      </c>
      <c r="Y12" s="122">
        <f t="shared" si="24"/>
        <v>2260</v>
      </c>
      <c r="Z12" s="122">
        <f t="shared" si="19"/>
        <v>3750</v>
      </c>
      <c r="AA12" s="53">
        <f t="shared" si="20"/>
        <v>65064.5</v>
      </c>
      <c r="AD12" s="54">
        <f t="shared" si="21"/>
        <v>153</v>
      </c>
      <c r="AE12" s="54">
        <f t="shared" si="22"/>
        <v>90.399999999999991</v>
      </c>
      <c r="AF12" s="54"/>
      <c r="AG12" s="53">
        <f t="shared" si="15"/>
        <v>65307.9</v>
      </c>
      <c r="AH12" s="90"/>
      <c r="AJ12" s="192"/>
      <c r="AK12" s="227"/>
      <c r="AL12" s="229"/>
      <c r="AM12" s="230"/>
    </row>
    <row r="13" spans="1:39" x14ac:dyDescent="0.35">
      <c r="B13" t="s">
        <v>123</v>
      </c>
      <c r="C13" t="s">
        <v>121</v>
      </c>
      <c r="D13" t="s">
        <v>121</v>
      </c>
      <c r="F13" s="152"/>
      <c r="G13" s="153" t="s">
        <v>352</v>
      </c>
      <c r="H13" s="255" t="s">
        <v>340</v>
      </c>
      <c r="I13" s="243">
        <v>60000</v>
      </c>
      <c r="J13" s="155">
        <f t="shared" ref="J13:J16" si="26">+I13/24</f>
        <v>2500</v>
      </c>
      <c r="K13" s="156" t="s">
        <v>86</v>
      </c>
      <c r="L13" s="157"/>
      <c r="M13" s="154"/>
      <c r="N13" s="154"/>
      <c r="O13" s="158"/>
      <c r="P13" s="158"/>
      <c r="Q13" t="s">
        <v>3</v>
      </c>
      <c r="R13" s="54">
        <f>IF(D13="Yes",VLOOKUP(A13,Tables!$G$2:$J$22,4,0),1)*IF(K13="Hourly",I13*IF(C13="Yes",4,8)*217,I13)</f>
        <v>60000</v>
      </c>
      <c r="S13" s="116"/>
      <c r="T13" s="242">
        <f t="shared" si="16"/>
        <v>2400</v>
      </c>
      <c r="U13" s="54">
        <v>3432</v>
      </c>
      <c r="V13" s="116">
        <v>1000</v>
      </c>
      <c r="W13" s="54"/>
      <c r="X13" s="54">
        <f t="shared" si="23"/>
        <v>4850.0999999999995</v>
      </c>
      <c r="Y13" s="122">
        <f t="shared" si="24"/>
        <v>2712</v>
      </c>
      <c r="Z13" s="122">
        <f t="shared" si="19"/>
        <v>4500</v>
      </c>
      <c r="AA13" s="53">
        <f t="shared" si="20"/>
        <v>78894.100000000006</v>
      </c>
      <c r="AD13" s="54"/>
      <c r="AE13" s="54"/>
      <c r="AF13" s="54"/>
      <c r="AG13" s="53">
        <f t="shared" si="15"/>
        <v>78894.100000000006</v>
      </c>
      <c r="AH13" s="90"/>
      <c r="AJ13" s="192"/>
      <c r="AK13" s="227"/>
      <c r="AL13" s="229"/>
      <c r="AM13" s="230"/>
    </row>
    <row r="14" spans="1:39" x14ac:dyDescent="0.35">
      <c r="B14" t="s">
        <v>123</v>
      </c>
      <c r="C14" t="s">
        <v>121</v>
      </c>
      <c r="D14" t="s">
        <v>121</v>
      </c>
      <c r="F14" s="152"/>
      <c r="G14" s="153" t="s">
        <v>353</v>
      </c>
      <c r="H14" s="255" t="s">
        <v>354</v>
      </c>
      <c r="I14" s="243">
        <v>48000</v>
      </c>
      <c r="J14" s="155">
        <f t="shared" si="26"/>
        <v>2000</v>
      </c>
      <c r="K14" s="156" t="s">
        <v>86</v>
      </c>
      <c r="L14" s="157"/>
      <c r="M14" s="154"/>
      <c r="N14" s="154"/>
      <c r="O14" s="158"/>
      <c r="P14" s="158"/>
      <c r="Q14" t="s">
        <v>3</v>
      </c>
      <c r="R14" s="54">
        <f>IF(D14="Yes",VLOOKUP(A14,Tables!$G$2:$J$22,4,0),1)*IF(K14="Hourly",I14*IF(C14="Yes",4,8)*217,I14)</f>
        <v>48000</v>
      </c>
      <c r="S14" s="116"/>
      <c r="T14" s="242">
        <f>R14*0.03</f>
        <v>1440</v>
      </c>
      <c r="U14" s="54">
        <v>2719</v>
      </c>
      <c r="V14" s="116"/>
      <c r="W14" s="54"/>
      <c r="X14" s="54">
        <f t="shared" si="23"/>
        <v>3782.16</v>
      </c>
      <c r="Y14" s="122">
        <f t="shared" si="24"/>
        <v>2169.6</v>
      </c>
      <c r="Z14" s="122">
        <f t="shared" si="19"/>
        <v>3600</v>
      </c>
      <c r="AA14" s="53">
        <f t="shared" si="20"/>
        <v>61710.76</v>
      </c>
      <c r="AD14" s="54"/>
      <c r="AE14" s="54"/>
      <c r="AF14" s="54"/>
      <c r="AG14" s="53">
        <f t="shared" si="15"/>
        <v>61710.76</v>
      </c>
      <c r="AH14" s="90"/>
      <c r="AJ14" s="192"/>
      <c r="AK14" s="227"/>
      <c r="AL14" s="229"/>
      <c r="AM14" s="230"/>
    </row>
    <row r="15" spans="1:39" x14ac:dyDescent="0.35">
      <c r="B15" t="s">
        <v>123</v>
      </c>
      <c r="C15" t="s">
        <v>121</v>
      </c>
      <c r="D15" t="s">
        <v>121</v>
      </c>
      <c r="F15" s="152"/>
      <c r="G15" s="153" t="s">
        <v>407</v>
      </c>
      <c r="H15" s="257" t="s">
        <v>408</v>
      </c>
      <c r="I15" s="243">
        <v>38000</v>
      </c>
      <c r="J15" s="155">
        <f t="shared" si="26"/>
        <v>1583.3333333333333</v>
      </c>
      <c r="K15" s="156" t="s">
        <v>86</v>
      </c>
      <c r="L15" s="157"/>
      <c r="M15" s="154"/>
      <c r="N15" s="154"/>
      <c r="O15" s="158"/>
      <c r="P15" s="158"/>
      <c r="Q15" t="s">
        <v>3</v>
      </c>
      <c r="R15" s="54">
        <f>IF(D15="Yes",VLOOKUP(A15,Tables!$G$2:$J$22,4,0),1)*IF(K15="Hourly",I15*IF(C15="Yes",4,8)*217,I15)</f>
        <v>38000</v>
      </c>
      <c r="S15" s="116"/>
      <c r="T15" s="242">
        <f>R15*0.04*0</f>
        <v>0</v>
      </c>
      <c r="U15" s="54">
        <v>500</v>
      </c>
      <c r="V15" s="116"/>
      <c r="W15" s="54"/>
      <c r="X15" s="54">
        <f t="shared" si="23"/>
        <v>2907</v>
      </c>
      <c r="Y15" s="122">
        <f t="shared" si="24"/>
        <v>1717.6</v>
      </c>
      <c r="Z15" s="122">
        <f t="shared" si="19"/>
        <v>2850</v>
      </c>
      <c r="AA15" s="53">
        <f t="shared" si="20"/>
        <v>45974.6</v>
      </c>
      <c r="AD15" s="54"/>
      <c r="AE15" s="54"/>
      <c r="AF15" s="54"/>
      <c r="AG15" s="53">
        <f t="shared" si="15"/>
        <v>45974.6</v>
      </c>
      <c r="AH15" s="90"/>
      <c r="AJ15" s="192"/>
      <c r="AK15" s="227"/>
      <c r="AL15" s="229"/>
      <c r="AM15" s="230"/>
    </row>
    <row r="16" spans="1:39" x14ac:dyDescent="0.35">
      <c r="B16" t="s">
        <v>123</v>
      </c>
      <c r="C16" t="s">
        <v>121</v>
      </c>
      <c r="D16" t="s">
        <v>121</v>
      </c>
      <c r="F16" s="152"/>
      <c r="G16" s="153" t="s">
        <v>355</v>
      </c>
      <c r="H16" s="255" t="s">
        <v>356</v>
      </c>
      <c r="I16" s="243">
        <v>45000</v>
      </c>
      <c r="J16" s="155">
        <f t="shared" si="26"/>
        <v>1875</v>
      </c>
      <c r="K16" s="156" t="s">
        <v>86</v>
      </c>
      <c r="L16" s="157"/>
      <c r="M16" s="154"/>
      <c r="N16" s="154"/>
      <c r="O16" s="158"/>
      <c r="P16" s="158"/>
      <c r="Q16" t="s">
        <v>3</v>
      </c>
      <c r="R16" s="54">
        <f>IF(D16="Yes",VLOOKUP(A16,Tables!$G$2:$J$22,4,0),1)*IF(K16="Hourly",I16*IF(C16="Yes",4,8)*217,I16)</f>
        <v>45000</v>
      </c>
      <c r="S16" s="116">
        <v>1000</v>
      </c>
      <c r="T16" s="242">
        <f t="shared" si="16"/>
        <v>1800</v>
      </c>
      <c r="U16" s="250">
        <v>2574</v>
      </c>
      <c r="V16" s="116"/>
      <c r="W16" s="54"/>
      <c r="X16" s="54">
        <f t="shared" si="23"/>
        <v>3656.7</v>
      </c>
      <c r="Y16" s="122">
        <f t="shared" si="24"/>
        <v>2033.9999999999998</v>
      </c>
      <c r="Z16" s="122">
        <f t="shared" si="19"/>
        <v>3375</v>
      </c>
      <c r="AA16" s="53">
        <f t="shared" si="20"/>
        <v>59439.7</v>
      </c>
      <c r="AD16" s="54"/>
      <c r="AE16" s="54"/>
      <c r="AF16" s="54"/>
      <c r="AG16" s="53">
        <f t="shared" si="15"/>
        <v>59439.7</v>
      </c>
      <c r="AH16" s="90"/>
      <c r="AJ16" s="192"/>
      <c r="AK16" s="227"/>
      <c r="AL16" s="229"/>
      <c r="AM16" s="230"/>
    </row>
    <row r="17" spans="1:41" x14ac:dyDescent="0.35">
      <c r="B17" t="s">
        <v>123</v>
      </c>
      <c r="C17" t="s">
        <v>121</v>
      </c>
      <c r="D17" t="s">
        <v>121</v>
      </c>
      <c r="F17" s="152"/>
      <c r="G17" s="153"/>
      <c r="H17" s="255"/>
      <c r="I17" s="243"/>
      <c r="J17" s="155">
        <f t="shared" ref="J17" si="27">+I17/24</f>
        <v>0</v>
      </c>
      <c r="K17" s="156" t="s">
        <v>86</v>
      </c>
      <c r="L17" s="157"/>
      <c r="M17" s="154"/>
      <c r="N17" s="154"/>
      <c r="O17" s="158"/>
      <c r="P17" s="158"/>
      <c r="Q17" t="s">
        <v>3</v>
      </c>
      <c r="R17" s="54">
        <f>IF(D17="Yes",VLOOKUP(A17,Tables!$G$2:$J$22,4,0),1)*IF(K17="Hourly",I17*IF(C17="Yes",4,8)*217,I17)</f>
        <v>0</v>
      </c>
      <c r="S17" s="116">
        <v>0</v>
      </c>
      <c r="T17" s="242">
        <v>0</v>
      </c>
      <c r="U17" s="122"/>
      <c r="V17" s="116"/>
      <c r="W17" s="54"/>
      <c r="X17" s="54">
        <f t="shared" ref="X17" si="28">(R17+S17+T17+V17+W17)*0.0765</f>
        <v>0</v>
      </c>
      <c r="Y17" s="122">
        <f t="shared" ref="Y17" si="29">(R17)*0.0452</f>
        <v>0</v>
      </c>
      <c r="Z17" s="122">
        <f t="shared" ref="Z17" si="30">R17*0.075</f>
        <v>0</v>
      </c>
      <c r="AA17" s="53">
        <f t="shared" ref="AA17" si="31">SUM(R17:Z17)</f>
        <v>0</v>
      </c>
      <c r="AD17" s="54"/>
      <c r="AE17" s="54"/>
      <c r="AF17" s="54"/>
      <c r="AG17" s="53">
        <f t="shared" ref="AG17" si="32">SUM(AA17:AE17)</f>
        <v>0</v>
      </c>
      <c r="AH17" s="90"/>
      <c r="AJ17" s="192"/>
      <c r="AK17" s="227"/>
      <c r="AL17" s="229"/>
      <c r="AM17" s="230"/>
    </row>
    <row r="18" spans="1:41" x14ac:dyDescent="0.35">
      <c r="A18" s="167" t="str">
        <f>B19</f>
        <v>Teachers</v>
      </c>
      <c r="B18" s="167"/>
      <c r="C18" s="167"/>
      <c r="D18" s="167"/>
      <c r="E18" s="167"/>
      <c r="F18" s="167"/>
      <c r="G18" s="167"/>
      <c r="H18" s="258"/>
      <c r="I18" s="132"/>
      <c r="J18" s="167"/>
      <c r="K18" s="167"/>
      <c r="L18" s="167"/>
      <c r="M18" s="167"/>
      <c r="N18" s="167"/>
      <c r="O18" s="167"/>
      <c r="P18" s="167"/>
      <c r="Q18" s="167"/>
      <c r="R18" s="167"/>
      <c r="S18" s="132"/>
      <c r="T18" s="241"/>
      <c r="U18" s="167"/>
      <c r="V18" s="132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53">
        <f t="shared" si="15"/>
        <v>0</v>
      </c>
      <c r="AH18" s="175" t="s">
        <v>102</v>
      </c>
      <c r="AI18" s="195">
        <v>0</v>
      </c>
      <c r="AJ18" s="191" t="s">
        <v>122</v>
      </c>
      <c r="AK18" s="227" t="s">
        <v>3</v>
      </c>
      <c r="AL18" s="228"/>
      <c r="AM18" s="230"/>
    </row>
    <row r="19" spans="1:41" x14ac:dyDescent="0.35">
      <c r="B19" t="s">
        <v>99</v>
      </c>
      <c r="C19" t="s">
        <v>121</v>
      </c>
      <c r="D19" t="s">
        <v>121</v>
      </c>
      <c r="F19" s="152"/>
      <c r="G19" s="154" t="s">
        <v>407</v>
      </c>
      <c r="H19" s="255" t="s">
        <v>357</v>
      </c>
      <c r="I19" s="243">
        <v>54000</v>
      </c>
      <c r="J19" s="155">
        <f t="shared" ref="J19:J27" si="33">+I19/24</f>
        <v>2250</v>
      </c>
      <c r="K19" s="156" t="s">
        <v>86</v>
      </c>
      <c r="L19" s="157"/>
      <c r="M19" s="154"/>
      <c r="N19" s="161"/>
      <c r="O19" s="158"/>
      <c r="P19" s="158"/>
      <c r="Q19" t="s">
        <v>3</v>
      </c>
      <c r="R19" s="54">
        <f>IF(D19="Yes",VLOOKUP(A19,Tables!$G$2:$J$22,4,0),1)*IF(K19="Hourly",I19*IF(C19="Yes",4,8)*217,I19)</f>
        <v>54000</v>
      </c>
      <c r="S19" s="116">
        <f>(IF(D19="Yes",VLOOKUP(A19,Tables!$G$2:$J$22,4,0),1)*IF(E19="Principal",12000,IF(E19="AP/VP",6000,IF(K19="Hourly",0,IF(OR(M19="Teacher I",M19="Teacher I - ND"),R19*0.02,IF(OR(M19="Teacher III",M19="Teacher II"),R19*0.025,0))))))</f>
        <v>0</v>
      </c>
      <c r="T19" s="242">
        <v>0</v>
      </c>
      <c r="U19" s="54">
        <v>500</v>
      </c>
      <c r="V19" s="116"/>
      <c r="W19" s="54"/>
      <c r="X19" s="54">
        <f t="shared" si="17"/>
        <v>4131</v>
      </c>
      <c r="Y19" s="122">
        <f t="shared" ref="Y19:Y27" si="34">(R19)*0.0452</f>
        <v>2440.7999999999997</v>
      </c>
      <c r="Z19" s="122">
        <f t="shared" si="19"/>
        <v>4050</v>
      </c>
      <c r="AA19" s="53">
        <f t="shared" ref="AA19:AA27" si="35">SUM(R19:Z19)</f>
        <v>65121.8</v>
      </c>
      <c r="AD19" s="54">
        <f>U19*0.0765</f>
        <v>38.25</v>
      </c>
      <c r="AE19" s="54">
        <f>U19*0.0452</f>
        <v>22.599999999999998</v>
      </c>
      <c r="AG19" s="53">
        <f t="shared" si="15"/>
        <v>65182.65</v>
      </c>
      <c r="AH19" s="175" t="s">
        <v>103</v>
      </c>
      <c r="AI19" s="195">
        <f>SUMIFS(Tables!C:C,Tables!A:A,Staffing!$A$4,Tables!B:B,AH19)+SUMIFS(Tables!D:D,Tables!A:A,Staffing!$A$4,Tables!B:B,AH19)</f>
        <v>0</v>
      </c>
      <c r="AJ19" s="191" t="s">
        <v>122</v>
      </c>
      <c r="AK19" s="227" t="s">
        <v>3</v>
      </c>
      <c r="AL19" s="228"/>
      <c r="AM19" s="230"/>
    </row>
    <row r="20" spans="1:41" x14ac:dyDescent="0.35">
      <c r="B20" t="s">
        <v>99</v>
      </c>
      <c r="C20" t="s">
        <v>121</v>
      </c>
      <c r="D20" t="s">
        <v>121</v>
      </c>
      <c r="F20" s="152"/>
      <c r="G20" s="153" t="s">
        <v>358</v>
      </c>
      <c r="H20" s="255" t="s">
        <v>335</v>
      </c>
      <c r="I20" s="243">
        <v>54855</v>
      </c>
      <c r="J20" s="155">
        <f t="shared" si="33"/>
        <v>2285.625</v>
      </c>
      <c r="K20" s="156" t="s">
        <v>86</v>
      </c>
      <c r="L20" s="157"/>
      <c r="M20" s="154"/>
      <c r="N20" s="154"/>
      <c r="O20" s="158"/>
      <c r="P20" s="158"/>
      <c r="Q20" t="s">
        <v>3</v>
      </c>
      <c r="R20" s="54">
        <f>IF(D20="Yes",VLOOKUP(A20,Tables!$G$2:$J$22,4,0),1)*IF(K20="Hourly",I20*IF(C20="Yes",4,8)*217,I20)</f>
        <v>54855</v>
      </c>
      <c r="S20" s="116">
        <f>(IF(D20="Yes",VLOOKUP(A20,Tables!$G$2:$J$22,4,0),1)*IF(E20="Principal",12000,IF(E20="AP/VP",6000,IF(K20="Hourly",0,IF(OR(M20="Teacher I",M20="Teacher I - ND"),R20*0.02,IF(OR(M20="Teacher III",M20="Teacher II"),R20*0.025,0))))))</f>
        <v>0</v>
      </c>
      <c r="T20" s="242">
        <f t="shared" ref="T20:T26" si="36">R20*0.04</f>
        <v>2194.2000000000003</v>
      </c>
      <c r="U20" s="54">
        <v>3000</v>
      </c>
      <c r="V20" s="116">
        <v>1000</v>
      </c>
      <c r="W20" s="54"/>
      <c r="X20" s="54">
        <f t="shared" si="17"/>
        <v>4440.7637999999997</v>
      </c>
      <c r="Y20" s="122">
        <f t="shared" si="34"/>
        <v>2479.4459999999999</v>
      </c>
      <c r="Z20" s="122">
        <f t="shared" si="19"/>
        <v>4114.125</v>
      </c>
      <c r="AA20" s="53">
        <f t="shared" si="35"/>
        <v>72083.534799999994</v>
      </c>
      <c r="AD20" s="54">
        <f t="shared" ref="AD20:AD27" si="37">U20*0.0765</f>
        <v>229.5</v>
      </c>
      <c r="AE20" s="54">
        <f t="shared" ref="AE20:AE27" si="38">U20*0.0452</f>
        <v>135.6</v>
      </c>
      <c r="AG20" s="53">
        <f t="shared" si="15"/>
        <v>72448.6348</v>
      </c>
      <c r="AH20" s="175" t="s">
        <v>104</v>
      </c>
      <c r="AI20" s="195">
        <f>SUMIFS(Tables!C:C,Tables!A:A,Staffing!$A$4,Tables!B:B,AH20)+SUMIFS(Tables!D:D,Tables!A:A,Staffing!$A$4,Tables!B:B,AH20)</f>
        <v>0</v>
      </c>
      <c r="AJ20" s="191" t="s">
        <v>122</v>
      </c>
      <c r="AK20" s="227" t="s">
        <v>3</v>
      </c>
      <c r="AL20" s="228"/>
      <c r="AM20" s="230"/>
    </row>
    <row r="21" spans="1:41" x14ac:dyDescent="0.35">
      <c r="B21" t="s">
        <v>99</v>
      </c>
      <c r="C21" t="s">
        <v>121</v>
      </c>
      <c r="D21" t="s">
        <v>121</v>
      </c>
      <c r="F21" s="152"/>
      <c r="G21" s="154" t="s">
        <v>359</v>
      </c>
      <c r="H21" s="255" t="s">
        <v>336</v>
      </c>
      <c r="I21" s="243">
        <v>61655</v>
      </c>
      <c r="J21" s="155">
        <f t="shared" si="33"/>
        <v>2568.9583333333335</v>
      </c>
      <c r="K21" s="156" t="s">
        <v>86</v>
      </c>
      <c r="L21" s="157"/>
      <c r="M21" s="154"/>
      <c r="N21" s="160"/>
      <c r="O21" s="158"/>
      <c r="P21" s="158"/>
      <c r="Q21" t="s">
        <v>3</v>
      </c>
      <c r="R21" s="54">
        <f>IF(D21="Yes",VLOOKUP(A21,Tables!$G$2:$J$22,4,0),1)*IF(K21="Hourly",I21*IF(C21="Yes",4,8)*217,I21)</f>
        <v>61655</v>
      </c>
      <c r="S21" s="116">
        <f>(IF(D21="Yes",VLOOKUP(A21,Tables!$G$2:$J$22,4,0),1)*IF(E21="Principal",12000,IF(E21="AP/VP",6000,IF(K21="Hourly",0,IF(OR(M21="Teacher I",M21="Teacher I - ND"),R21*0.02,IF(OR(M21="Teacher III",M21="Teacher II"),R21*0.025,0))))))</f>
        <v>0</v>
      </c>
      <c r="T21" s="242">
        <f t="shared" si="36"/>
        <v>2466.2000000000003</v>
      </c>
      <c r="U21" s="54">
        <v>3000</v>
      </c>
      <c r="V21" s="116">
        <v>500</v>
      </c>
      <c r="W21" s="54"/>
      <c r="X21" s="54">
        <f t="shared" si="17"/>
        <v>4943.5217999999995</v>
      </c>
      <c r="Y21" s="122">
        <f t="shared" si="34"/>
        <v>2786.806</v>
      </c>
      <c r="Z21" s="122">
        <f t="shared" si="19"/>
        <v>4624.125</v>
      </c>
      <c r="AA21" s="53">
        <f t="shared" si="35"/>
        <v>79975.652799999996</v>
      </c>
      <c r="AD21" s="54">
        <f t="shared" si="37"/>
        <v>229.5</v>
      </c>
      <c r="AE21" s="54">
        <f t="shared" si="38"/>
        <v>135.6</v>
      </c>
      <c r="AG21" s="53">
        <f t="shared" si="15"/>
        <v>80340.752800000002</v>
      </c>
      <c r="AH21" s="176" t="s">
        <v>105</v>
      </c>
      <c r="AI21" s="173"/>
      <c r="AJ21" s="191" t="s">
        <v>122</v>
      </c>
      <c r="AK21" s="227" t="s">
        <v>6</v>
      </c>
      <c r="AL21" s="228"/>
      <c r="AM21" s="230"/>
    </row>
    <row r="22" spans="1:41" x14ac:dyDescent="0.35">
      <c r="B22" t="s">
        <v>99</v>
      </c>
      <c r="C22" t="s">
        <v>121</v>
      </c>
      <c r="D22" t="s">
        <v>121</v>
      </c>
      <c r="F22" s="152"/>
      <c r="G22" s="153" t="s">
        <v>360</v>
      </c>
      <c r="H22" s="255" t="s">
        <v>336</v>
      </c>
      <c r="I22" s="243">
        <v>59565</v>
      </c>
      <c r="J22" s="155">
        <f t="shared" si="33"/>
        <v>2481.875</v>
      </c>
      <c r="K22" s="156" t="s">
        <v>86</v>
      </c>
      <c r="L22" s="157"/>
      <c r="M22" s="154"/>
      <c r="N22" s="154"/>
      <c r="O22" s="158"/>
      <c r="P22" s="158"/>
      <c r="Q22" t="s">
        <v>3</v>
      </c>
      <c r="R22" s="54">
        <f>IF(D22="Yes",VLOOKUP(A22,Tables!$G$2:$J$22,4,0),1)*IF(K22="Hourly",I22*IF(C22="Yes",4,8)*217,I22)</f>
        <v>59565</v>
      </c>
      <c r="S22" s="116">
        <f>(IF(D22="Yes",VLOOKUP(A22,Tables!$G$2:$J$22,4,0),1)*IF(E22="Principal",12000,IF(E22="AP/VP",6000,IF(K22="Hourly",0,IF(OR(M22="Teacher I",M22="Teacher I - ND"),R22*0.02,IF(OR(M22="Teacher III",M22="Teacher II"),R22*0.025,0))))))</f>
        <v>0</v>
      </c>
      <c r="T22" s="242">
        <f t="shared" si="36"/>
        <v>2382.6</v>
      </c>
      <c r="U22" s="54">
        <v>12000</v>
      </c>
      <c r="V22" s="116">
        <v>2000</v>
      </c>
      <c r="W22" s="54"/>
      <c r="X22" s="54">
        <f t="shared" si="17"/>
        <v>4891.9913999999999</v>
      </c>
      <c r="Y22" s="122">
        <f t="shared" si="34"/>
        <v>2692.3379999999997</v>
      </c>
      <c r="Z22" s="122">
        <f t="shared" si="19"/>
        <v>4467.375</v>
      </c>
      <c r="AA22" s="53">
        <f t="shared" si="35"/>
        <v>87999.304400000008</v>
      </c>
      <c r="AD22" s="54">
        <f t="shared" si="37"/>
        <v>918</v>
      </c>
      <c r="AE22" s="54">
        <f t="shared" si="38"/>
        <v>542.4</v>
      </c>
      <c r="AG22" s="53">
        <f t="shared" si="15"/>
        <v>89459.704400000002</v>
      </c>
      <c r="AH22" s="177" t="s">
        <v>124</v>
      </c>
      <c r="AI22" s="143">
        <f>SUM(AI18:AI21)</f>
        <v>0</v>
      </c>
      <c r="AJ22" s="191"/>
      <c r="AK22" s="227"/>
      <c r="AL22" s="228"/>
      <c r="AM22" s="230"/>
    </row>
    <row r="23" spans="1:41" x14ac:dyDescent="0.35">
      <c r="B23" t="s">
        <v>99</v>
      </c>
      <c r="C23" t="s">
        <v>121</v>
      </c>
      <c r="D23" t="s">
        <v>121</v>
      </c>
      <c r="F23" s="152"/>
      <c r="G23" s="154"/>
      <c r="H23" s="255" t="s">
        <v>361</v>
      </c>
      <c r="I23" s="243">
        <v>0</v>
      </c>
      <c r="J23" s="155">
        <f t="shared" si="33"/>
        <v>0</v>
      </c>
      <c r="K23" s="156" t="s">
        <v>86</v>
      </c>
      <c r="L23" s="157"/>
      <c r="M23" s="154"/>
      <c r="N23" s="160"/>
      <c r="O23" s="158"/>
      <c r="P23" s="158"/>
      <c r="Q23" t="s">
        <v>3</v>
      </c>
      <c r="R23" s="54">
        <f>IF(D23="Yes",VLOOKUP(A23,Tables!$G$2:$J$22,4,0),1)*IF(K23="Hourly",I23*IF(C23="Yes",4,8)*217,I23)</f>
        <v>0</v>
      </c>
      <c r="S23" s="116">
        <f>(IF(D23="Yes",VLOOKUP(A23,Tables!$G$2:$J$22,4,0),1)*IF(E23="Principal",12000,IF(E23="AP/VP",6000,IF(K23="Hourly",0,IF(OR(M23="Teacher I",M23="Teacher I - ND"),R23*0.02,IF(OR(M23="Teacher III",M23="Teacher II"),R23*0.025,0))))))</f>
        <v>0</v>
      </c>
      <c r="T23" s="242">
        <f t="shared" si="36"/>
        <v>0</v>
      </c>
      <c r="U23" s="54"/>
      <c r="V23" s="116">
        <v>0</v>
      </c>
      <c r="W23" s="54"/>
      <c r="X23" s="54">
        <f t="shared" si="17"/>
        <v>0</v>
      </c>
      <c r="Y23" s="122">
        <f t="shared" si="34"/>
        <v>0</v>
      </c>
      <c r="Z23" s="122">
        <f t="shared" si="19"/>
        <v>0</v>
      </c>
      <c r="AA23" s="53">
        <f t="shared" si="35"/>
        <v>0</v>
      </c>
      <c r="AD23" s="54">
        <f t="shared" si="37"/>
        <v>0</v>
      </c>
      <c r="AE23" s="54">
        <f t="shared" si="38"/>
        <v>0</v>
      </c>
      <c r="AG23" s="53">
        <f t="shared" si="15"/>
        <v>0</v>
      </c>
      <c r="AH23" s="90"/>
      <c r="AJ23" s="192"/>
      <c r="AK23" s="227"/>
      <c r="AL23" s="228"/>
      <c r="AM23" s="230"/>
    </row>
    <row r="24" spans="1:41" x14ac:dyDescent="0.35">
      <c r="B24" t="s">
        <v>99</v>
      </c>
      <c r="C24" t="s">
        <v>121</v>
      </c>
      <c r="D24" t="s">
        <v>121</v>
      </c>
      <c r="F24" s="152"/>
      <c r="G24" s="153" t="s">
        <v>362</v>
      </c>
      <c r="H24" s="255" t="s">
        <v>363</v>
      </c>
      <c r="I24" s="243">
        <v>56000</v>
      </c>
      <c r="J24" s="155">
        <f t="shared" si="33"/>
        <v>2333.3333333333335</v>
      </c>
      <c r="K24" s="156" t="s">
        <v>86</v>
      </c>
      <c r="L24" s="157"/>
      <c r="M24" s="154"/>
      <c r="N24" s="154"/>
      <c r="O24" s="158"/>
      <c r="P24" s="158"/>
      <c r="Q24" t="s">
        <v>3</v>
      </c>
      <c r="R24" s="54">
        <f>IF(D24="Yes",VLOOKUP(A24,Tables!$G$2:$J$22,4,0),1)*IF(K24="Hourly",I24*IF(C24="Yes",4,8)*217,I24)</f>
        <v>56000</v>
      </c>
      <c r="S24" s="116">
        <f>(IF(D24="Yes",VLOOKUP(A24,Tables!$G$2:$J$22,4,0),1)*IF(E24="Principal",12000,IF(E24="AP/VP",6000,IF(K24="Hourly",0,IF(OR(M24="Teacher I",M24="Teacher I - ND"),R24*0.02,IF(OR(M24="Teacher III",M24="Teacher II"),R24*0.025,0))))))</f>
        <v>0</v>
      </c>
      <c r="T24" s="242">
        <f>R24*0.03</f>
        <v>1680</v>
      </c>
      <c r="U24" s="54">
        <v>3000</v>
      </c>
      <c r="V24" s="116"/>
      <c r="W24" s="54"/>
      <c r="X24" s="54">
        <f t="shared" si="17"/>
        <v>4412.5199999999995</v>
      </c>
      <c r="Y24" s="122">
        <f t="shared" si="34"/>
        <v>2531.1999999999998</v>
      </c>
      <c r="Z24" s="122">
        <f t="shared" si="19"/>
        <v>4200</v>
      </c>
      <c r="AA24" s="53">
        <f t="shared" si="35"/>
        <v>71823.72</v>
      </c>
      <c r="AD24" s="54">
        <f t="shared" si="37"/>
        <v>229.5</v>
      </c>
      <c r="AE24" s="54">
        <f t="shared" si="38"/>
        <v>135.6</v>
      </c>
      <c r="AG24" s="53">
        <f t="shared" si="15"/>
        <v>72188.820000000007</v>
      </c>
      <c r="AH24" s="178" t="s">
        <v>95</v>
      </c>
      <c r="AI24" s="169">
        <f>SUMIFS(X:X,Q:Q,"Operating")</f>
        <v>87545.823525</v>
      </c>
      <c r="AJ24" s="191" t="s">
        <v>34</v>
      </c>
      <c r="AK24" s="227" t="s">
        <v>3</v>
      </c>
      <c r="AL24" s="229"/>
      <c r="AM24" s="230"/>
    </row>
    <row r="25" spans="1:41" x14ac:dyDescent="0.35">
      <c r="B25" t="s">
        <v>99</v>
      </c>
      <c r="C25" t="s">
        <v>121</v>
      </c>
      <c r="D25" t="s">
        <v>121</v>
      </c>
      <c r="F25" s="152"/>
      <c r="G25" s="154" t="s">
        <v>406</v>
      </c>
      <c r="H25" s="255" t="s">
        <v>337</v>
      </c>
      <c r="I25" s="243">
        <v>54000</v>
      </c>
      <c r="J25" s="155">
        <f t="shared" si="33"/>
        <v>2250</v>
      </c>
      <c r="K25" s="156" t="s">
        <v>86</v>
      </c>
      <c r="L25" s="157"/>
      <c r="M25" s="154"/>
      <c r="N25" s="160"/>
      <c r="O25" s="158"/>
      <c r="P25" s="158"/>
      <c r="Q25" t="s">
        <v>3</v>
      </c>
      <c r="R25" s="54">
        <f>IF(D25="Yes",VLOOKUP(A25,Tables!$G$2:$J$22,4,0),1)*IF(K25="Hourly",I25*IF(C25="Yes",4,8)*217,I25)</f>
        <v>54000</v>
      </c>
      <c r="S25" s="116">
        <f>(IF(D25="Yes",VLOOKUP(A25,Tables!$G$2:$J$22,4,0),1)*IF(E25="Principal",12000,IF(E25="AP/VP",6000,IF(K25="Hourly",0,IF(OR(M25="Teacher I",M25="Teacher I - ND"),R25*0.02,IF(OR(M25="Teacher III",M25="Teacher II"),R25*0.025,0))))))</f>
        <v>0</v>
      </c>
      <c r="T25" s="242">
        <v>0</v>
      </c>
      <c r="U25" s="54">
        <v>500</v>
      </c>
      <c r="V25" s="116"/>
      <c r="W25" s="54"/>
      <c r="X25" s="54">
        <f t="shared" si="17"/>
        <v>4131</v>
      </c>
      <c r="Y25" s="122">
        <f t="shared" si="34"/>
        <v>2440.7999999999997</v>
      </c>
      <c r="Z25" s="122">
        <f t="shared" si="19"/>
        <v>4050</v>
      </c>
      <c r="AA25" s="53">
        <f t="shared" si="35"/>
        <v>65121.8</v>
      </c>
      <c r="AD25" s="54">
        <f t="shared" si="37"/>
        <v>38.25</v>
      </c>
      <c r="AE25" s="54">
        <f t="shared" si="38"/>
        <v>22.599999999999998</v>
      </c>
      <c r="AG25" s="53">
        <f t="shared" si="15"/>
        <v>65182.65</v>
      </c>
      <c r="AH25" s="170" t="s">
        <v>96</v>
      </c>
      <c r="AI25" s="171">
        <f>SUMIFS(Y:Y,Q:Q,"Operating")</f>
        <v>48248.965999999986</v>
      </c>
      <c r="AJ25" s="191" t="s">
        <v>34</v>
      </c>
      <c r="AK25" s="227" t="s">
        <v>3</v>
      </c>
      <c r="AL25" s="229"/>
      <c r="AM25" s="230"/>
    </row>
    <row r="26" spans="1:41" x14ac:dyDescent="0.35">
      <c r="B26" t="s">
        <v>99</v>
      </c>
      <c r="C26" t="s">
        <v>121</v>
      </c>
      <c r="D26" t="s">
        <v>121</v>
      </c>
      <c r="F26" s="152"/>
      <c r="G26" s="153" t="s">
        <v>364</v>
      </c>
      <c r="H26" s="255" t="s">
        <v>338</v>
      </c>
      <c r="I26" s="243">
        <v>67925</v>
      </c>
      <c r="J26" s="155">
        <f t="shared" si="33"/>
        <v>2830.2083333333335</v>
      </c>
      <c r="K26" s="156" t="s">
        <v>86</v>
      </c>
      <c r="L26" s="157"/>
      <c r="M26" s="154"/>
      <c r="N26" s="154"/>
      <c r="O26" s="159"/>
      <c r="P26" s="158"/>
      <c r="Q26" t="s">
        <v>3</v>
      </c>
      <c r="R26" s="54">
        <f>IF(D26="Yes",VLOOKUP(A26,Tables!$G$2:$J$22,4,0),1)*IF(K26="Hourly",I26*IF(C26="Yes",4,8)*217,I26)</f>
        <v>67925</v>
      </c>
      <c r="S26" s="116">
        <f>(IF(D26="Yes",VLOOKUP(A26,Tables!$G$2:$J$22,4,0),1)*IF(E26="Principal",12000,IF(E26="AP/VP",6000,IF(K26="Hourly",0,IF(OR(M26="Teacher I",M26="Teacher I - ND"),R26*0.02,IF(OR(M26="Teacher III",M26="Teacher II"),R26*0.025,0))))))</f>
        <v>0</v>
      </c>
      <c r="T26" s="242">
        <f t="shared" si="36"/>
        <v>2717</v>
      </c>
      <c r="U26" s="54">
        <v>3000</v>
      </c>
      <c r="V26" s="116">
        <v>1000</v>
      </c>
      <c r="W26" s="54"/>
      <c r="X26" s="54">
        <f t="shared" si="17"/>
        <v>5480.6130000000003</v>
      </c>
      <c r="Y26" s="122">
        <f t="shared" si="34"/>
        <v>3070.2099999999996</v>
      </c>
      <c r="Z26" s="122">
        <f t="shared" si="19"/>
        <v>5094.375</v>
      </c>
      <c r="AA26" s="53">
        <f t="shared" si="35"/>
        <v>88287.198000000004</v>
      </c>
      <c r="AD26" s="54">
        <f t="shared" si="37"/>
        <v>229.5</v>
      </c>
      <c r="AE26" s="54">
        <f t="shared" si="38"/>
        <v>135.6</v>
      </c>
      <c r="AG26" s="53">
        <f t="shared" si="15"/>
        <v>88652.29800000001</v>
      </c>
      <c r="AH26" s="170" t="s">
        <v>97</v>
      </c>
      <c r="AI26" s="171">
        <f>SUMIFS(Z:Z,Q:Q,"Operating")</f>
        <v>80059.125</v>
      </c>
      <c r="AJ26" s="191" t="s">
        <v>34</v>
      </c>
      <c r="AK26" s="227" t="s">
        <v>3</v>
      </c>
      <c r="AL26" s="229"/>
      <c r="AM26" s="230"/>
    </row>
    <row r="27" spans="1:41" x14ac:dyDescent="0.35">
      <c r="B27" t="s">
        <v>99</v>
      </c>
      <c r="C27" t="s">
        <v>121</v>
      </c>
      <c r="D27" t="s">
        <v>121</v>
      </c>
      <c r="F27" s="152"/>
      <c r="G27" s="154" t="s">
        <v>365</v>
      </c>
      <c r="H27" s="255" t="s">
        <v>339</v>
      </c>
      <c r="I27" s="243">
        <v>74370</v>
      </c>
      <c r="J27" s="155">
        <f t="shared" si="33"/>
        <v>3098.75</v>
      </c>
      <c r="K27" s="156" t="s">
        <v>86</v>
      </c>
      <c r="L27" s="157"/>
      <c r="M27" s="154"/>
      <c r="N27" s="160"/>
      <c r="O27" s="159"/>
      <c r="P27" s="224"/>
      <c r="Q27" t="s">
        <v>3</v>
      </c>
      <c r="R27" s="54">
        <f>IF(D27="Yes",VLOOKUP(A27,Tables!$G$2:$J$22,4,0),1)*IF(K27="Hourly",I27*IF(C27="Yes",4,8)*217,I27)</f>
        <v>74370</v>
      </c>
      <c r="S27" s="116">
        <f>(IF(D27="Yes",VLOOKUP(A27,Tables!$G$2:$J$22,4,0),1)*IF(E27="Principal",12000,IF(E27="AP/VP",6000,IF(K27="Hourly",0,IF(OR(M27="Teacher I",M27="Teacher I - ND"),R27*0.02,IF(OR(M27="Teacher III",M27="Teacher II"),R27*0.025,0))))))</f>
        <v>0</v>
      </c>
      <c r="T27" s="242">
        <f>R27*0.03</f>
        <v>2231.1</v>
      </c>
      <c r="U27" s="54">
        <v>3000</v>
      </c>
      <c r="V27" s="116"/>
      <c r="W27" s="54"/>
      <c r="X27" s="54">
        <f t="shared" si="17"/>
        <v>5859.9841500000002</v>
      </c>
      <c r="Y27" s="122">
        <f t="shared" si="34"/>
        <v>3361.5239999999999</v>
      </c>
      <c r="Z27" s="122">
        <f t="shared" si="19"/>
        <v>5577.75</v>
      </c>
      <c r="AA27" s="53">
        <f t="shared" si="35"/>
        <v>94400.358150000015</v>
      </c>
      <c r="AD27" s="54">
        <f t="shared" si="37"/>
        <v>229.5</v>
      </c>
      <c r="AE27" s="54">
        <f t="shared" si="38"/>
        <v>135.6</v>
      </c>
      <c r="AG27" s="53">
        <f t="shared" si="15"/>
        <v>94765.45815000002</v>
      </c>
      <c r="AH27" s="179" t="s">
        <v>112</v>
      </c>
      <c r="AI27" s="171">
        <f>SUMIFS(AA:AA,Q:Q,"Operating")+AI22</f>
        <v>1424043.7645250002</v>
      </c>
      <c r="AJ27" s="192"/>
      <c r="AK27" s="227"/>
      <c r="AL27" s="229"/>
      <c r="AM27" s="230"/>
    </row>
    <row r="28" spans="1:41" x14ac:dyDescent="0.35">
      <c r="F28" s="152"/>
      <c r="G28" s="154"/>
      <c r="H28" s="255"/>
      <c r="I28" s="243"/>
      <c r="J28" s="155"/>
      <c r="K28" s="156"/>
      <c r="L28" s="157"/>
      <c r="M28" s="154"/>
      <c r="N28" s="160"/>
      <c r="O28" s="159"/>
      <c r="P28" s="224"/>
      <c r="R28" s="54"/>
      <c r="S28" s="116"/>
      <c r="T28" s="242"/>
      <c r="U28" s="54"/>
      <c r="V28" s="116"/>
      <c r="W28" s="54"/>
      <c r="X28" s="54"/>
      <c r="Y28" s="122"/>
      <c r="Z28" s="122"/>
      <c r="AA28" s="53"/>
      <c r="AD28" s="54"/>
      <c r="AE28" s="54"/>
      <c r="AG28" s="53"/>
      <c r="AH28" s="253"/>
      <c r="AI28" s="254"/>
      <c r="AJ28" s="192"/>
      <c r="AK28" s="227"/>
      <c r="AL28" s="229"/>
      <c r="AM28" s="230"/>
    </row>
    <row r="29" spans="1:41" x14ac:dyDescent="0.35">
      <c r="F29" s="152"/>
      <c r="G29" s="154"/>
      <c r="H29" s="255"/>
      <c r="I29" s="243"/>
      <c r="J29" s="155"/>
      <c r="K29" s="156"/>
      <c r="L29" s="157"/>
      <c r="M29" s="154"/>
      <c r="N29" s="160"/>
      <c r="O29" s="159"/>
      <c r="P29" s="224"/>
      <c r="R29" s="54"/>
      <c r="S29" s="116"/>
      <c r="T29" s="242"/>
      <c r="U29" s="54"/>
      <c r="V29" s="116"/>
      <c r="W29" s="54"/>
      <c r="X29" s="54"/>
      <c r="Y29" s="122"/>
      <c r="Z29" s="122"/>
      <c r="AA29" s="53"/>
      <c r="AD29" s="54"/>
      <c r="AE29" s="54"/>
      <c r="AG29" s="53"/>
      <c r="AH29" s="253"/>
      <c r="AI29" s="254"/>
      <c r="AJ29" s="192"/>
      <c r="AK29" s="227"/>
      <c r="AL29" s="229"/>
      <c r="AM29" s="230"/>
    </row>
    <row r="30" spans="1:41" x14ac:dyDescent="0.35">
      <c r="A30" s="167" t="s">
        <v>100</v>
      </c>
      <c r="B30" s="167"/>
      <c r="C30" s="167"/>
      <c r="D30" s="167"/>
      <c r="E30" s="167"/>
      <c r="F30" s="167"/>
      <c r="G30" s="167"/>
      <c r="H30" s="258"/>
      <c r="I30" s="132"/>
      <c r="J30" s="167"/>
      <c r="K30" s="167"/>
      <c r="L30" s="167"/>
      <c r="M30" s="167"/>
      <c r="N30" s="167"/>
      <c r="O30" s="167"/>
      <c r="P30" s="167"/>
      <c r="Q30" s="167"/>
      <c r="R30" s="167"/>
      <c r="S30" s="132"/>
      <c r="T30" s="241"/>
      <c r="U30" s="167"/>
      <c r="V30" s="132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53">
        <f t="shared" si="15"/>
        <v>0</v>
      </c>
      <c r="AH30" s="90"/>
      <c r="AI30" s="54"/>
      <c r="AJ30" s="192"/>
      <c r="AK30" s="227"/>
      <c r="AL30" s="228"/>
      <c r="AM30" s="230"/>
      <c r="AO30" s="54">
        <f>IF(Q31="Referendum",AG31-Z31-U31-AD31-AE31,0)</f>
        <v>0</v>
      </c>
    </row>
    <row r="31" spans="1:41" x14ac:dyDescent="0.35">
      <c r="B31" t="s">
        <v>100</v>
      </c>
      <c r="C31" t="s">
        <v>121</v>
      </c>
      <c r="D31" t="s">
        <v>121</v>
      </c>
      <c r="F31" s="152"/>
      <c r="G31" s="153"/>
      <c r="H31" s="255"/>
      <c r="I31" s="243"/>
      <c r="J31" s="155"/>
      <c r="K31" s="156"/>
      <c r="L31" s="157"/>
      <c r="M31" s="154"/>
      <c r="N31" s="154"/>
      <c r="O31" s="158"/>
      <c r="P31" s="158"/>
      <c r="Q31" t="s">
        <v>3</v>
      </c>
      <c r="R31" s="54">
        <f>IF(D31="Yes",VLOOKUP(A31,Tables!$G$2:$J$22,4,0),1)*IF(K31="Hourly",I31*IF(C31="Yes",4,8)*217,I31)</f>
        <v>0</v>
      </c>
      <c r="S31" s="116">
        <f>(IF(D31="Yes",VLOOKUP(A31,Tables!$G$2:$J$22,4,0),1)*IF(E31="Principal",12000,IF(E31="AP/VP",6000,IF(K31="Hourly",0,IF(OR(M31="Teacher I",M31="Teacher I - ND"),R31*0.02,IF(OR(M31="Teacher III",M31="Teacher II"),R31*0.025,0))))))</f>
        <v>0</v>
      </c>
      <c r="T31" s="242">
        <f>IF(OR(K31="Hourly",B31="Admin Team"),R31*0.02,0)</f>
        <v>0</v>
      </c>
      <c r="U31" s="54"/>
      <c r="V31" s="116"/>
      <c r="W31" s="54"/>
      <c r="X31" s="54">
        <f t="shared" si="17"/>
        <v>0</v>
      </c>
      <c r="Y31" s="122">
        <f t="shared" ref="Y31:Y32" si="39">(R31)*0.0452</f>
        <v>0</v>
      </c>
      <c r="Z31" s="122"/>
      <c r="AA31" s="53">
        <f>SUM(R31:Z31)</f>
        <v>0</v>
      </c>
      <c r="AD31" s="54">
        <f t="shared" ref="AD31:AD32" si="40">U31*0.0765</f>
        <v>0</v>
      </c>
      <c r="AE31" s="54">
        <f t="shared" ref="AE31:AE32" si="41">U31*0.0452</f>
        <v>0</v>
      </c>
      <c r="AF31" s="54"/>
      <c r="AG31" s="53">
        <f t="shared" si="15"/>
        <v>0</v>
      </c>
      <c r="AH31" s="168" t="s">
        <v>125</v>
      </c>
      <c r="AI31" s="169">
        <f>+AI27-AI10</f>
        <v>1360243.7645250002</v>
      </c>
      <c r="AJ31" s="192"/>
      <c r="AK31" s="227"/>
      <c r="AL31" s="229"/>
      <c r="AM31" s="316"/>
    </row>
    <row r="32" spans="1:41" x14ac:dyDescent="0.35">
      <c r="B32" t="s">
        <v>100</v>
      </c>
      <c r="C32" t="s">
        <v>121</v>
      </c>
      <c r="D32" t="s">
        <v>121</v>
      </c>
      <c r="F32" s="162"/>
      <c r="G32" s="163"/>
      <c r="H32" s="255"/>
      <c r="I32" s="243"/>
      <c r="J32" s="155"/>
      <c r="K32" s="156"/>
      <c r="L32" s="157"/>
      <c r="M32" s="154"/>
      <c r="N32" s="160"/>
      <c r="O32" s="158"/>
      <c r="P32" s="158"/>
      <c r="Q32" t="s">
        <v>3</v>
      </c>
      <c r="R32" s="54">
        <f>IF(D32="Yes",VLOOKUP(A32,Tables!$G$2:$J$22,4,0),1)*IF(K32="Hourly",I32*IF(C32="Yes",4,8)*217,I32)</f>
        <v>0</v>
      </c>
      <c r="S32" s="116">
        <f>(IF(D32="Yes",VLOOKUP(A32,Tables!$G$2:$J$22,4,0),1)*IF(E32="Principal",12000,IF(E32="AP/VP",6000,IF(K32="Hourly",0,IF(OR(M32="Teacher I",M32="Teacher I - ND"),R32*0.02,IF(OR(M32="Teacher III",M32="Teacher II"),R32*0.025,0))))))</f>
        <v>0</v>
      </c>
      <c r="T32" s="242">
        <f>IF(OR(K32="Hourly",B32="Admin Team"),R32*0.02,0)</f>
        <v>0</v>
      </c>
      <c r="U32" s="54"/>
      <c r="V32" s="116"/>
      <c r="W32" s="54"/>
      <c r="X32" s="54">
        <f t="shared" si="17"/>
        <v>0</v>
      </c>
      <c r="Y32" s="122">
        <f t="shared" si="39"/>
        <v>0</v>
      </c>
      <c r="Z32" s="122"/>
      <c r="AA32" s="53">
        <f>SUM(R32:Z32)</f>
        <v>0</v>
      </c>
      <c r="AD32" s="54">
        <f t="shared" si="40"/>
        <v>0</v>
      </c>
      <c r="AE32" s="54">
        <f t="shared" si="41"/>
        <v>0</v>
      </c>
      <c r="AF32" s="54"/>
      <c r="AG32" s="53">
        <f t="shared" si="15"/>
        <v>0</v>
      </c>
      <c r="AH32" s="179" t="s">
        <v>126</v>
      </c>
      <c r="AI32" s="171">
        <f>'Overall Budget'!B32</f>
        <v>3868342.2761599999</v>
      </c>
      <c r="AJ32" s="192"/>
      <c r="AK32" s="227"/>
      <c r="AL32" s="229"/>
      <c r="AM32" s="316"/>
    </row>
    <row r="33" spans="1:39" x14ac:dyDescent="0.35">
      <c r="A33" s="167" t="str">
        <f>B34</f>
        <v>Operations Staff</v>
      </c>
      <c r="B33" s="167"/>
      <c r="C33" s="167"/>
      <c r="D33" s="167"/>
      <c r="E33" s="167"/>
      <c r="F33" s="167"/>
      <c r="G33" s="167"/>
      <c r="H33" s="258"/>
      <c r="I33" s="132"/>
      <c r="J33" s="167"/>
      <c r="K33" s="167"/>
      <c r="L33" s="167"/>
      <c r="M33" s="167"/>
      <c r="N33" s="167"/>
      <c r="O33" s="167"/>
      <c r="P33" s="167"/>
      <c r="Q33" s="167"/>
      <c r="R33" s="167"/>
      <c r="S33" s="132"/>
      <c r="T33" s="241"/>
      <c r="U33" s="167"/>
      <c r="V33" s="132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53">
        <f t="shared" si="15"/>
        <v>0</v>
      </c>
      <c r="AH33" s="180" t="s">
        <v>127</v>
      </c>
      <c r="AI33" s="181">
        <f>+AI31/AI32</f>
        <v>0.3516348004952855</v>
      </c>
      <c r="AJ33" s="192"/>
      <c r="AK33" s="227"/>
      <c r="AL33" s="229"/>
      <c r="AM33" s="230"/>
    </row>
    <row r="34" spans="1:39" x14ac:dyDescent="0.35">
      <c r="B34" t="s">
        <v>128</v>
      </c>
      <c r="C34" t="s">
        <v>121</v>
      </c>
      <c r="D34" t="s">
        <v>121</v>
      </c>
      <c r="F34" s="152"/>
      <c r="G34" s="154" t="s">
        <v>451</v>
      </c>
      <c r="H34" s="256" t="s">
        <v>404</v>
      </c>
      <c r="I34" s="244">
        <v>45000</v>
      </c>
      <c r="J34" s="155">
        <f t="shared" ref="J34:J35" si="42">+I34/24</f>
        <v>1875</v>
      </c>
      <c r="K34" s="156" t="s">
        <v>86</v>
      </c>
      <c r="L34" s="157"/>
      <c r="M34" s="164"/>
      <c r="N34" s="164"/>
      <c r="O34" s="165"/>
      <c r="P34" s="166"/>
      <c r="Q34" s="292" t="s">
        <v>6</v>
      </c>
      <c r="R34" s="54">
        <f>IF(D34="Yes",VLOOKUP(A34,Tables!$G$2:$J$22,4,0),1)*IF(K34="Hourly",I34*IF(C34="Yes",4,8)*217,I34)</f>
        <v>45000</v>
      </c>
      <c r="S34" s="116">
        <f>(IF(D34="Yes",VLOOKUP(A34,Tables!$G$2:$J$22,4,0),1)*IF(E34="Principal",12000,IF(E34="AP/VP",6000,IF(K34="Hourly",0,IF(OR(M34="Teacher I",M34="Teacher I - ND"),R34*0.02,IF(OR(M34="Teacher III",M34="Teacher II"),R34*0.025,0))))))</f>
        <v>0</v>
      </c>
      <c r="T34" s="242">
        <v>0</v>
      </c>
      <c r="U34" s="54">
        <v>500</v>
      </c>
      <c r="V34" s="116"/>
      <c r="W34" s="54"/>
      <c r="X34" s="54">
        <f t="shared" si="17"/>
        <v>3442.5</v>
      </c>
      <c r="Y34" s="122">
        <f t="shared" ref="Y34:Y35" si="43">(R34)*0.0452</f>
        <v>2033.9999999999998</v>
      </c>
      <c r="Z34" s="122">
        <f t="shared" ref="Z34:Z35" si="44">R34*0.075</f>
        <v>3375</v>
      </c>
      <c r="AA34" s="53">
        <f>SUM(R34:Z34)</f>
        <v>54351.5</v>
      </c>
      <c r="AD34" s="54">
        <f t="shared" ref="AD34:AD35" si="45">U34*0.0765</f>
        <v>38.25</v>
      </c>
      <c r="AE34" s="54">
        <f t="shared" ref="AE34:AE35" si="46">U34*0.0452</f>
        <v>22.599999999999998</v>
      </c>
      <c r="AG34" s="53">
        <f t="shared" si="15"/>
        <v>54412.35</v>
      </c>
      <c r="AJ34" s="192"/>
      <c r="AK34" s="227"/>
      <c r="AL34" s="229"/>
      <c r="AM34" s="230"/>
    </row>
    <row r="35" spans="1:39" x14ac:dyDescent="0.35">
      <c r="B35" t="s">
        <v>128</v>
      </c>
      <c r="C35" t="s">
        <v>121</v>
      </c>
      <c r="D35" t="s">
        <v>121</v>
      </c>
      <c r="F35" s="152"/>
      <c r="G35" s="154" t="s">
        <v>452</v>
      </c>
      <c r="H35" s="256" t="s">
        <v>405</v>
      </c>
      <c r="I35" s="243">
        <v>48000</v>
      </c>
      <c r="J35" s="155">
        <f t="shared" si="42"/>
        <v>2000</v>
      </c>
      <c r="K35" s="156" t="s">
        <v>86</v>
      </c>
      <c r="L35" s="157"/>
      <c r="M35" s="154"/>
      <c r="N35" s="160"/>
      <c r="O35" s="158"/>
      <c r="P35" s="158" t="s">
        <v>453</v>
      </c>
      <c r="Q35" s="292" t="s">
        <v>6</v>
      </c>
      <c r="R35" s="54">
        <f>IF(D35="Yes",VLOOKUP(A35,Tables!$G$2:$J$22,4,0),1)*IF(K35="Hourly",I35*IF(C35="Yes",4,8)*217,I35)</f>
        <v>48000</v>
      </c>
      <c r="S35" s="116">
        <f>(IF(D35="Yes",VLOOKUP(A35,Tables!$G$2:$J$22,4,0),1)*IF(E35="Principal",12000,IF(E35="AP/VP",6000,IF(K35="Hourly",0,IF(OR(M35="Teacher I",M35="Teacher I - ND"),R35*0.02,IF(OR(M35="Teacher III",M35="Teacher II"),R35*0.025,0))))))</f>
        <v>0</v>
      </c>
      <c r="T35" s="242">
        <v>0</v>
      </c>
      <c r="U35" s="54">
        <v>500</v>
      </c>
      <c r="V35" s="116"/>
      <c r="W35" s="54"/>
      <c r="X35" s="54">
        <f t="shared" si="17"/>
        <v>3672</v>
      </c>
      <c r="Y35" s="122">
        <f t="shared" si="43"/>
        <v>2169.6</v>
      </c>
      <c r="Z35" s="122">
        <f t="shared" si="44"/>
        <v>3600</v>
      </c>
      <c r="AA35" s="53">
        <f>SUM(R35:Z35)</f>
        <v>57941.599999999999</v>
      </c>
      <c r="AD35" s="54">
        <f t="shared" si="45"/>
        <v>38.25</v>
      </c>
      <c r="AE35" s="54">
        <f t="shared" si="46"/>
        <v>22.599999999999998</v>
      </c>
      <c r="AG35" s="53">
        <f t="shared" si="15"/>
        <v>58002.45</v>
      </c>
      <c r="AJ35" s="192"/>
      <c r="AK35" s="227"/>
      <c r="AL35" s="229"/>
      <c r="AM35" s="230"/>
    </row>
    <row r="36" spans="1:39" x14ac:dyDescent="0.35">
      <c r="T36" s="28"/>
      <c r="Z36" s="234">
        <f>3626.94/48383.78</f>
        <v>7.4961898388261519E-2</v>
      </c>
      <c r="AG36" s="53">
        <f>SUM(AG3:AG35)+AI22</f>
        <v>1542370.142025</v>
      </c>
      <c r="AH36" s="182" t="s">
        <v>129</v>
      </c>
      <c r="AJ36" s="192"/>
      <c r="AK36" s="227"/>
      <c r="AL36" s="229"/>
      <c r="AM36" s="230"/>
    </row>
    <row r="37" spans="1:39" x14ac:dyDescent="0.35">
      <c r="T37" s="28"/>
      <c r="AA37" s="53"/>
      <c r="AG37" s="53"/>
      <c r="AH37" s="183"/>
      <c r="AJ37" s="192"/>
      <c r="AK37" s="227"/>
      <c r="AL37" s="229"/>
      <c r="AM37" s="230"/>
    </row>
    <row r="38" spans="1:39" x14ac:dyDescent="0.35">
      <c r="T38" s="28"/>
      <c r="AG38" s="53">
        <f>SUM(AG3:AG35)</f>
        <v>1542370.142025</v>
      </c>
      <c r="AH38" s="183"/>
      <c r="AJ38" s="192"/>
      <c r="AK38" s="227"/>
      <c r="AL38" s="229"/>
      <c r="AM38" s="230"/>
    </row>
    <row r="39" spans="1:39" x14ac:dyDescent="0.35">
      <c r="I39" s="291">
        <f>SUM(I4:I35)</f>
        <v>1160455</v>
      </c>
      <c r="S39" s="297">
        <f>SUM(S4:S35)</f>
        <v>14500</v>
      </c>
      <c r="T39" s="297">
        <f>SUM(T4:T35)</f>
        <v>49934.849999999991</v>
      </c>
      <c r="U39" s="297">
        <f>SUM(U4:U35)</f>
        <v>64800</v>
      </c>
      <c r="V39" s="297">
        <f>SUM(V4:V35)</f>
        <v>12500</v>
      </c>
      <c r="X39" s="291">
        <f t="shared" ref="X39:AA39" si="47">SUM(X4:X35)</f>
        <v>94660.323525</v>
      </c>
      <c r="Y39" s="291">
        <f t="shared" si="47"/>
        <v>52452.565999999984</v>
      </c>
      <c r="Z39" s="291">
        <f t="shared" si="47"/>
        <v>87034.125</v>
      </c>
      <c r="AA39" s="291">
        <f t="shared" si="47"/>
        <v>1536336.8645250003</v>
      </c>
      <c r="AD39" s="291">
        <f t="shared" ref="AD39:AE39" si="48">SUM(AD4:AD35)</f>
        <v>3792.4875000000002</v>
      </c>
      <c r="AE39" s="291">
        <f t="shared" si="48"/>
        <v>2240.7899999999991</v>
      </c>
      <c r="AG39" s="293">
        <f>SUM(AA39:AE39)</f>
        <v>1542370.1420250004</v>
      </c>
      <c r="AH39" s="183"/>
      <c r="AJ39" s="192"/>
      <c r="AK39" s="227"/>
      <c r="AL39" s="229"/>
      <c r="AM39" s="230"/>
    </row>
    <row r="40" spans="1:39" x14ac:dyDescent="0.35">
      <c r="T40" s="28"/>
      <c r="AH40" s="183"/>
      <c r="AJ40" s="192"/>
      <c r="AK40" s="227"/>
      <c r="AL40" s="228"/>
      <c r="AM40" s="230"/>
    </row>
    <row r="41" spans="1:39" x14ac:dyDescent="0.35">
      <c r="T41" s="28"/>
      <c r="AG41" s="54">
        <f>'Overall Budget'!F39</f>
        <v>1542369.764525</v>
      </c>
      <c r="AH41" s="183"/>
      <c r="AI41" s="91">
        <f>AI2+AI9</f>
        <v>1117389.8500000001</v>
      </c>
      <c r="AJ41" s="192"/>
      <c r="AK41" s="227"/>
      <c r="AL41" s="228"/>
      <c r="AM41" s="231"/>
    </row>
    <row r="42" spans="1:39" x14ac:dyDescent="0.35">
      <c r="T42" s="28"/>
      <c r="U42" s="291"/>
      <c r="AG42" s="53">
        <f>AG39-AG41</f>
        <v>0.37750000040978193</v>
      </c>
      <c r="AH42" s="183"/>
      <c r="AI42" s="91">
        <f>AI41-'Overall Budget'!F34</f>
        <v>-117326</v>
      </c>
      <c r="AJ42" s="192"/>
      <c r="AK42" s="227"/>
      <c r="AL42" s="228"/>
      <c r="AM42" s="228"/>
    </row>
    <row r="43" spans="1:39" x14ac:dyDescent="0.35">
      <c r="T43" s="28"/>
      <c r="AG43" s="115"/>
      <c r="AH43" s="183"/>
      <c r="AJ43" s="192"/>
      <c r="AK43" s="227"/>
      <c r="AL43" s="228"/>
      <c r="AM43" s="230"/>
    </row>
    <row r="44" spans="1:39" x14ac:dyDescent="0.35">
      <c r="T44" s="28"/>
      <c r="AA44" s="53"/>
      <c r="AF44" s="235"/>
      <c r="AG44" s="115"/>
      <c r="AH44" s="183"/>
      <c r="AJ44" s="192"/>
      <c r="AK44" s="227"/>
      <c r="AL44" s="228"/>
      <c r="AM44" s="230"/>
    </row>
    <row r="45" spans="1:39" x14ac:dyDescent="0.35">
      <c r="T45" s="28"/>
      <c r="AF45" s="235"/>
      <c r="AG45" s="115"/>
      <c r="AH45" s="183"/>
      <c r="AJ45" s="192"/>
      <c r="AK45" s="227"/>
      <c r="AL45" s="228"/>
      <c r="AM45" s="230"/>
    </row>
    <row r="46" spans="1:39" x14ac:dyDescent="0.35">
      <c r="T46" s="28"/>
      <c r="AA46" s="53"/>
      <c r="AF46" s="90"/>
      <c r="AG46" s="236"/>
      <c r="AH46" s="183"/>
      <c r="AJ46" s="192"/>
      <c r="AK46" s="227"/>
      <c r="AL46" s="228"/>
      <c r="AM46" s="230"/>
    </row>
    <row r="47" spans="1:39" x14ac:dyDescent="0.35">
      <c r="T47" s="28"/>
      <c r="AH47" s="183"/>
      <c r="AJ47" s="192"/>
      <c r="AK47" s="227"/>
      <c r="AL47" s="228"/>
      <c r="AM47" s="230"/>
    </row>
    <row r="48" spans="1:39" x14ac:dyDescent="0.35">
      <c r="T48" s="28"/>
      <c r="AH48" s="144"/>
      <c r="AJ48" s="192"/>
      <c r="AK48" s="227"/>
    </row>
    <row r="49" spans="20:37" x14ac:dyDescent="0.35">
      <c r="T49" s="28"/>
      <c r="AJ49" s="192"/>
      <c r="AK49" s="227"/>
    </row>
    <row r="50" spans="20:37" x14ac:dyDescent="0.35">
      <c r="T50" s="28"/>
      <c r="AH50" s="90"/>
    </row>
    <row r="51" spans="20:37" x14ac:dyDescent="0.35">
      <c r="T51" s="28"/>
      <c r="AH51" s="164"/>
      <c r="AI51" s="202"/>
      <c r="AJ51" s="11"/>
    </row>
    <row r="52" spans="20:37" x14ac:dyDescent="0.35">
      <c r="T52" s="28"/>
      <c r="AH52" s="164"/>
      <c r="AI52" s="202"/>
      <c r="AJ52" s="11"/>
    </row>
    <row r="53" spans="20:37" x14ac:dyDescent="0.35">
      <c r="T53" s="28"/>
      <c r="AH53" s="164"/>
      <c r="AI53" s="202"/>
      <c r="AJ53" s="11"/>
    </row>
    <row r="54" spans="20:37" x14ac:dyDescent="0.35">
      <c r="T54" s="28"/>
      <c r="AH54" s="164"/>
      <c r="AI54" s="202"/>
      <c r="AJ54" s="11"/>
    </row>
    <row r="55" spans="20:37" x14ac:dyDescent="0.35">
      <c r="T55" s="28"/>
      <c r="AH55" s="164"/>
      <c r="AI55" s="202"/>
      <c r="AJ55" s="11"/>
    </row>
    <row r="56" spans="20:37" x14ac:dyDescent="0.35">
      <c r="T56" s="28"/>
      <c r="AH56" s="164"/>
      <c r="AI56" s="202"/>
      <c r="AJ56" s="11"/>
    </row>
    <row r="57" spans="20:37" x14ac:dyDescent="0.35">
      <c r="T57" s="28"/>
      <c r="AH57" s="164"/>
      <c r="AI57" s="202"/>
      <c r="AJ57" s="11"/>
    </row>
    <row r="58" spans="20:37" x14ac:dyDescent="0.35">
      <c r="T58" s="28"/>
      <c r="AH58" s="164"/>
      <c r="AI58" s="202"/>
      <c r="AJ58" s="11"/>
    </row>
    <row r="59" spans="20:37" x14ac:dyDescent="0.35">
      <c r="AH59" s="232"/>
      <c r="AI59" s="202"/>
    </row>
    <row r="60" spans="20:37" x14ac:dyDescent="0.35">
      <c r="AH60" s="232"/>
      <c r="AI60" s="202"/>
      <c r="AJ60" s="11"/>
    </row>
    <row r="64" spans="20:37" x14ac:dyDescent="0.35">
      <c r="AH64" s="182" t="s">
        <v>138</v>
      </c>
    </row>
    <row r="65" spans="34:37" x14ac:dyDescent="0.35">
      <c r="AH65" s="184" t="s">
        <v>139</v>
      </c>
      <c r="AI65" s="185">
        <f>SUM(AA:AA)</f>
        <v>3072673.7290500007</v>
      </c>
    </row>
    <row r="66" spans="34:37" x14ac:dyDescent="0.35">
      <c r="AH66" s="186" t="s">
        <v>140</v>
      </c>
      <c r="AI66" s="187">
        <f>SUMIFS(AA:AA,Q:Q,"Operating")</f>
        <v>1424043.7645250002</v>
      </c>
    </row>
    <row r="67" spans="34:37" x14ac:dyDescent="0.35">
      <c r="AH67" s="186" t="s">
        <v>141</v>
      </c>
      <c r="AI67" s="187">
        <f>+AI10</f>
        <v>63800</v>
      </c>
    </row>
    <row r="68" spans="34:37" x14ac:dyDescent="0.35">
      <c r="AH68" s="186" t="s">
        <v>142</v>
      </c>
      <c r="AI68" s="187" t="e">
        <f>+AI62+#REF!</f>
        <v>#REF!</v>
      </c>
      <c r="AJ68" s="53"/>
    </row>
    <row r="69" spans="34:37" x14ac:dyDescent="0.35">
      <c r="AH69" s="186" t="s">
        <v>143</v>
      </c>
      <c r="AI69" s="187" t="e">
        <f>+AI68+AI67</f>
        <v>#REF!</v>
      </c>
    </row>
    <row r="70" spans="34:37" x14ac:dyDescent="0.35">
      <c r="AH70" s="186" t="s">
        <v>144</v>
      </c>
      <c r="AI70" s="187" t="e">
        <f>+AI66-AI67-AI68</f>
        <v>#REF!</v>
      </c>
    </row>
    <row r="71" spans="34:37" x14ac:dyDescent="0.35">
      <c r="AH71" s="186" t="s">
        <v>145</v>
      </c>
      <c r="AI71" s="187">
        <f>SUMIFS(AA:AA,Q:Q,"Referendum")</f>
        <v>112293.1</v>
      </c>
    </row>
    <row r="72" spans="34:37" x14ac:dyDescent="0.35">
      <c r="AH72" s="186" t="s">
        <v>124</v>
      </c>
      <c r="AI72" s="187">
        <f>AI22</f>
        <v>0</v>
      </c>
      <c r="AJ72" s="53"/>
    </row>
    <row r="73" spans="34:37" x14ac:dyDescent="0.35">
      <c r="AH73" s="186" t="s">
        <v>146</v>
      </c>
      <c r="AI73" s="187" t="e">
        <f>+AI71+AI69</f>
        <v>#REF!</v>
      </c>
    </row>
    <row r="74" spans="34:37" x14ac:dyDescent="0.35">
      <c r="AH74" s="186" t="s">
        <v>147</v>
      </c>
      <c r="AI74" s="187">
        <f>+AI65-AI66-AI71</f>
        <v>1536336.8645250003</v>
      </c>
    </row>
    <row r="75" spans="34:37" x14ac:dyDescent="0.35">
      <c r="AH75" s="188" t="s">
        <v>0</v>
      </c>
      <c r="AI75" s="189" t="e">
        <f>SUM(AI69:AI72,AI74)</f>
        <v>#REF!</v>
      </c>
      <c r="AJ75" s="54">
        <f>AG36+AI22</f>
        <v>1542370.142025</v>
      </c>
      <c r="AK75" t="s">
        <v>148</v>
      </c>
    </row>
    <row r="76" spans="34:37" x14ac:dyDescent="0.35">
      <c r="AJ76" s="54" t="e">
        <f>AI2+AI4+AI9+AI10+AI11+AI22+AI24+AI25+AI26+#REF!+AI51+AI52+AI53+AI54+AI56+AI57+AI58+AI60+AI88+AI89</f>
        <v>#REF!</v>
      </c>
      <c r="AK76" t="s">
        <v>149</v>
      </c>
    </row>
    <row r="77" spans="34:37" x14ac:dyDescent="0.35">
      <c r="AJ77" s="54" t="e">
        <f>'Overall Budget'!#REF!</f>
        <v>#REF!</v>
      </c>
      <c r="AK77" s="53" t="s">
        <v>150</v>
      </c>
    </row>
    <row r="79" spans="34:37" x14ac:dyDescent="0.35">
      <c r="AH79" s="193" t="s">
        <v>151</v>
      </c>
      <c r="AJ79" s="192"/>
      <c r="AK79" s="227"/>
    </row>
    <row r="80" spans="34:37" x14ac:dyDescent="0.35">
      <c r="AH80" s="170" t="s">
        <v>130</v>
      </c>
      <c r="AI80" s="194">
        <f>SUMIFS(R:R,Q:Q,"Title I")</f>
        <v>0</v>
      </c>
      <c r="AJ80" s="191" t="s">
        <v>31</v>
      </c>
      <c r="AK80" s="227" t="s">
        <v>3</v>
      </c>
    </row>
    <row r="81" spans="34:37" x14ac:dyDescent="0.35">
      <c r="AH81" s="170" t="s">
        <v>131</v>
      </c>
      <c r="AI81" s="195">
        <f>SUMIFS(S:S,Q:Q,"Title I")</f>
        <v>0</v>
      </c>
      <c r="AJ81" s="191" t="s">
        <v>122</v>
      </c>
      <c r="AK81" s="227" t="s">
        <v>3</v>
      </c>
    </row>
    <row r="82" spans="34:37" x14ac:dyDescent="0.35">
      <c r="AH82" s="170" t="s">
        <v>132</v>
      </c>
      <c r="AI82" s="195">
        <f>SUMIFS(T:T,Q:Q,"Title I")</f>
        <v>0</v>
      </c>
      <c r="AJ82" s="191" t="s">
        <v>31</v>
      </c>
      <c r="AK82" s="227" t="s">
        <v>3</v>
      </c>
    </row>
    <row r="83" spans="34:37" x14ac:dyDescent="0.35">
      <c r="AH83" s="170" t="s">
        <v>133</v>
      </c>
      <c r="AI83" s="195">
        <f>SUMIFS(U:U,Q:Q,"Title I")</f>
        <v>0</v>
      </c>
      <c r="AJ83" s="191" t="s">
        <v>6</v>
      </c>
      <c r="AK83" s="227" t="s">
        <v>3</v>
      </c>
    </row>
    <row r="84" spans="34:37" x14ac:dyDescent="0.35">
      <c r="AH84" s="172" t="s">
        <v>134</v>
      </c>
      <c r="AI84" s="196">
        <f>SUMIFS(V:V,Q:Q,"Title I")</f>
        <v>0</v>
      </c>
      <c r="AJ84" s="191" t="s">
        <v>122</v>
      </c>
      <c r="AK84" s="227" t="s">
        <v>3</v>
      </c>
    </row>
    <row r="85" spans="34:37" x14ac:dyDescent="0.35">
      <c r="AH85" s="178" t="s">
        <v>115</v>
      </c>
      <c r="AI85" s="194">
        <f>SUMIFS(X:X,Q:Q,"Title I")</f>
        <v>0</v>
      </c>
      <c r="AJ85" s="191" t="s">
        <v>34</v>
      </c>
      <c r="AK85" s="227" t="s">
        <v>3</v>
      </c>
    </row>
    <row r="86" spans="34:37" x14ac:dyDescent="0.35">
      <c r="AH86" s="170" t="s">
        <v>116</v>
      </c>
      <c r="AI86" s="195">
        <f>SUMIFS(Y:Y,Q:Q,"Title I")</f>
        <v>0</v>
      </c>
      <c r="AJ86" s="191" t="s">
        <v>34</v>
      </c>
      <c r="AK86" s="227" t="s">
        <v>3</v>
      </c>
    </row>
    <row r="87" spans="34:37" x14ac:dyDescent="0.35">
      <c r="AH87" s="170" t="s">
        <v>135</v>
      </c>
      <c r="AI87" s="195">
        <f>SUMIFS(Z:Z,Q:Q,"Title I")</f>
        <v>0</v>
      </c>
      <c r="AJ87" s="191" t="s">
        <v>34</v>
      </c>
      <c r="AK87" s="227" t="s">
        <v>3</v>
      </c>
    </row>
    <row r="88" spans="34:37" x14ac:dyDescent="0.35">
      <c r="AH88" s="179" t="s">
        <v>136</v>
      </c>
      <c r="AI88" s="195">
        <f>SUMIFS(AA:AA,Q:Q,"Title I")</f>
        <v>0</v>
      </c>
      <c r="AJ88" s="192"/>
      <c r="AK88" s="227"/>
    </row>
    <row r="89" spans="34:37" x14ac:dyDescent="0.35">
      <c r="AH89" s="180" t="s">
        <v>137</v>
      </c>
      <c r="AI89" s="173">
        <f>SUMIFS(AE:AE,Q:Q,"Title I")+SUMIFS(AD:AD,Q:Q,"Title I")</f>
        <v>0</v>
      </c>
      <c r="AJ89" s="191" t="s">
        <v>34</v>
      </c>
      <c r="AK89" s="227" t="s">
        <v>3</v>
      </c>
    </row>
  </sheetData>
  <protectedRanges>
    <protectedRange sqref="N35:P35 N31:P32 N4:P4 N19:P29 N10:P17 N6:P8 N5:O5" name="Range1_2_1_1"/>
    <protectedRange sqref="N1:P1" name="Range1_2_1_2"/>
    <protectedRange sqref="P5" name="Range1_2_1_1_1"/>
  </protectedRanges>
  <mergeCells count="1">
    <mergeCell ref="AM31:AM3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3B38-1C52-4375-9E22-4D1CF849930B}">
  <dimension ref="A1:J96"/>
  <sheetViews>
    <sheetView topLeftCell="A28" workbookViewId="0">
      <selection activeCell="C54" sqref="C54:D54"/>
    </sheetView>
  </sheetViews>
  <sheetFormatPr defaultRowHeight="14.5" x14ac:dyDescent="0.35"/>
  <cols>
    <col min="1" max="1" width="17.7265625" bestFit="1" customWidth="1"/>
    <col min="2" max="2" width="16.1796875" bestFit="1" customWidth="1"/>
    <col min="3" max="3" width="10.26953125" bestFit="1" customWidth="1"/>
    <col min="4" max="4" width="11" bestFit="1" customWidth="1"/>
    <col min="7" max="7" width="16.81640625" bestFit="1" customWidth="1"/>
    <col min="9" max="9" width="9.7265625" bestFit="1" customWidth="1"/>
  </cols>
  <sheetData>
    <row r="1" spans="1:10" x14ac:dyDescent="0.35">
      <c r="A1" s="148" t="s">
        <v>2</v>
      </c>
      <c r="B1" s="148" t="s">
        <v>152</v>
      </c>
      <c r="C1" s="148" t="s">
        <v>153</v>
      </c>
      <c r="D1" s="148" t="s">
        <v>95</v>
      </c>
      <c r="G1" s="148" t="s">
        <v>2</v>
      </c>
      <c r="H1" s="148" t="s">
        <v>154</v>
      </c>
      <c r="I1" s="148" t="s">
        <v>155</v>
      </c>
      <c r="J1" s="148" t="s">
        <v>156</v>
      </c>
    </row>
    <row r="2" spans="1:10" x14ac:dyDescent="0.35">
      <c r="A2" t="s">
        <v>157</v>
      </c>
      <c r="B2" t="s">
        <v>101</v>
      </c>
      <c r="C2">
        <v>7560</v>
      </c>
      <c r="D2">
        <v>578.34</v>
      </c>
      <c r="G2" t="s">
        <v>158</v>
      </c>
      <c r="H2">
        <v>12400.289999999999</v>
      </c>
      <c r="I2">
        <v>0.05</v>
      </c>
      <c r="J2" t="s">
        <v>13</v>
      </c>
    </row>
    <row r="3" spans="1:10" x14ac:dyDescent="0.35">
      <c r="A3" t="s">
        <v>157</v>
      </c>
      <c r="B3" t="s">
        <v>102</v>
      </c>
      <c r="C3">
        <v>8000</v>
      </c>
      <c r="D3">
        <v>612</v>
      </c>
      <c r="G3" t="s">
        <v>159</v>
      </c>
      <c r="H3">
        <v>10131.720000000001</v>
      </c>
      <c r="I3">
        <v>6.3E-2</v>
      </c>
      <c r="J3" t="s">
        <v>13</v>
      </c>
    </row>
    <row r="4" spans="1:10" x14ac:dyDescent="0.35">
      <c r="A4" t="s">
        <v>157</v>
      </c>
      <c r="B4" t="s">
        <v>103</v>
      </c>
      <c r="C4">
        <v>10120</v>
      </c>
      <c r="G4" t="s">
        <v>157</v>
      </c>
      <c r="H4">
        <v>9921.65</v>
      </c>
      <c r="I4">
        <v>7.4999999999999997E-2</v>
      </c>
      <c r="J4" t="s">
        <v>13</v>
      </c>
    </row>
    <row r="5" spans="1:10" x14ac:dyDescent="0.35">
      <c r="A5" t="s">
        <v>157</v>
      </c>
      <c r="B5" t="s">
        <v>104</v>
      </c>
      <c r="C5">
        <v>31000</v>
      </c>
      <c r="D5">
        <v>2371.5</v>
      </c>
      <c r="G5" t="s">
        <v>160</v>
      </c>
      <c r="H5">
        <v>10115.259999999998</v>
      </c>
      <c r="I5">
        <v>0.08</v>
      </c>
      <c r="J5" t="s">
        <v>13</v>
      </c>
    </row>
    <row r="6" spans="1:10" x14ac:dyDescent="0.35">
      <c r="A6" t="s">
        <v>157</v>
      </c>
      <c r="B6" t="s">
        <v>105</v>
      </c>
      <c r="C6">
        <v>11750</v>
      </c>
      <c r="D6">
        <v>898.875</v>
      </c>
      <c r="G6" t="s">
        <v>161</v>
      </c>
      <c r="H6">
        <v>10148.449999999999</v>
      </c>
      <c r="I6">
        <v>7.0000000000000007E-2</v>
      </c>
      <c r="J6" t="s">
        <v>13</v>
      </c>
    </row>
    <row r="7" spans="1:10" x14ac:dyDescent="0.35">
      <c r="A7" t="s">
        <v>162</v>
      </c>
      <c r="B7" t="str">
        <f>B2</f>
        <v>Tutoring</v>
      </c>
      <c r="C7">
        <v>7560</v>
      </c>
      <c r="D7">
        <v>578.34</v>
      </c>
      <c r="G7" t="s">
        <v>163</v>
      </c>
      <c r="H7">
        <v>9952.57</v>
      </c>
      <c r="I7">
        <v>7.0000000000000007E-2</v>
      </c>
      <c r="J7" t="s">
        <v>13</v>
      </c>
    </row>
    <row r="8" spans="1:10" x14ac:dyDescent="0.35">
      <c r="A8" t="s">
        <v>162</v>
      </c>
      <c r="B8" t="str">
        <f t="shared" ref="B8:B71" si="0">B3</f>
        <v>Regular Stipends</v>
      </c>
      <c r="C8">
        <v>4600</v>
      </c>
      <c r="D8">
        <v>351.9</v>
      </c>
      <c r="G8" t="s">
        <v>164</v>
      </c>
      <c r="H8">
        <v>10056.669999999998</v>
      </c>
      <c r="I8">
        <v>0.1</v>
      </c>
      <c r="J8">
        <v>0.52</v>
      </c>
    </row>
    <row r="9" spans="1:10" x14ac:dyDescent="0.35">
      <c r="A9" t="s">
        <v>162</v>
      </c>
      <c r="B9" t="str">
        <f t="shared" si="0"/>
        <v>Summer PD</v>
      </c>
      <c r="C9">
        <v>14000</v>
      </c>
      <c r="D9">
        <v>1071</v>
      </c>
      <c r="G9" t="s">
        <v>165</v>
      </c>
      <c r="H9">
        <v>10020.219999999999</v>
      </c>
      <c r="I9">
        <v>0.08</v>
      </c>
      <c r="J9" t="s">
        <v>13</v>
      </c>
    </row>
    <row r="10" spans="1:10" x14ac:dyDescent="0.35">
      <c r="A10" t="s">
        <v>162</v>
      </c>
      <c r="B10" t="str">
        <f t="shared" si="0"/>
        <v>Summer School</v>
      </c>
      <c r="C10">
        <v>22600</v>
      </c>
      <c r="D10">
        <v>1728.8999999999999</v>
      </c>
      <c r="G10" t="s">
        <v>1</v>
      </c>
      <c r="H10">
        <v>9792.18</v>
      </c>
      <c r="I10">
        <v>0.08</v>
      </c>
      <c r="J10" t="s">
        <v>13</v>
      </c>
    </row>
    <row r="11" spans="1:10" x14ac:dyDescent="0.35">
      <c r="A11" t="s">
        <v>162</v>
      </c>
      <c r="B11" t="str">
        <f t="shared" si="0"/>
        <v>PTO Payout</v>
      </c>
      <c r="C11">
        <v>43533.58</v>
      </c>
      <c r="D11">
        <v>3330.3188700000001</v>
      </c>
      <c r="G11" t="s">
        <v>166</v>
      </c>
      <c r="H11">
        <v>9459.69</v>
      </c>
      <c r="I11">
        <v>2.5999999999999999E-2</v>
      </c>
      <c r="J11" t="s">
        <v>13</v>
      </c>
    </row>
    <row r="12" spans="1:10" x14ac:dyDescent="0.35">
      <c r="A12" t="s">
        <v>167</v>
      </c>
      <c r="B12" t="str">
        <f t="shared" si="0"/>
        <v>Tutoring</v>
      </c>
      <c r="C12">
        <v>4620</v>
      </c>
      <c r="D12">
        <v>353.43</v>
      </c>
      <c r="G12" t="s">
        <v>168</v>
      </c>
      <c r="H12">
        <v>9475.69</v>
      </c>
      <c r="I12">
        <v>5.5E-2</v>
      </c>
      <c r="J12">
        <v>0.69</v>
      </c>
    </row>
    <row r="13" spans="1:10" x14ac:dyDescent="0.35">
      <c r="A13" t="s">
        <v>167</v>
      </c>
      <c r="B13" t="str">
        <f t="shared" si="0"/>
        <v>Regular Stipends</v>
      </c>
      <c r="C13">
        <v>6100</v>
      </c>
      <c r="D13">
        <v>466.65</v>
      </c>
      <c r="G13" t="s">
        <v>169</v>
      </c>
      <c r="H13">
        <v>9266.26</v>
      </c>
      <c r="I13">
        <v>5.4199999999999998E-2</v>
      </c>
      <c r="J13" t="s">
        <v>13</v>
      </c>
    </row>
    <row r="14" spans="1:10" x14ac:dyDescent="0.35">
      <c r="A14" t="s">
        <v>167</v>
      </c>
      <c r="B14" t="str">
        <f t="shared" si="0"/>
        <v>Summer PD</v>
      </c>
      <c r="C14">
        <v>2640</v>
      </c>
      <c r="D14">
        <v>201.96</v>
      </c>
      <c r="G14" t="s">
        <v>170</v>
      </c>
      <c r="H14">
        <v>9110.1</v>
      </c>
      <c r="I14">
        <v>7.0000000000000007E-2</v>
      </c>
      <c r="J14" t="s">
        <v>13</v>
      </c>
    </row>
    <row r="15" spans="1:10" x14ac:dyDescent="0.35">
      <c r="A15" t="s">
        <v>167</v>
      </c>
      <c r="B15" t="str">
        <f t="shared" si="0"/>
        <v>Summer School</v>
      </c>
      <c r="C15" s="28">
        <v>11400</v>
      </c>
      <c r="D15" s="28">
        <v>872.1</v>
      </c>
      <c r="G15" t="s">
        <v>171</v>
      </c>
      <c r="H15">
        <v>8694.11</v>
      </c>
      <c r="I15">
        <v>5.1999999999999998E-2</v>
      </c>
      <c r="J15" t="s">
        <v>13</v>
      </c>
    </row>
    <row r="16" spans="1:10" x14ac:dyDescent="0.35">
      <c r="A16" t="s">
        <v>167</v>
      </c>
      <c r="B16" t="str">
        <f t="shared" si="0"/>
        <v>PTO Payout</v>
      </c>
      <c r="C16" s="28">
        <v>5000</v>
      </c>
      <c r="D16" s="28">
        <v>382.5</v>
      </c>
      <c r="G16" t="s">
        <v>172</v>
      </c>
      <c r="H16">
        <v>9155.130000000001</v>
      </c>
      <c r="I16">
        <v>0.06</v>
      </c>
      <c r="J16">
        <v>0.58000000000000007</v>
      </c>
    </row>
    <row r="17" spans="1:10" x14ac:dyDescent="0.35">
      <c r="A17" t="s">
        <v>158</v>
      </c>
      <c r="B17" t="str">
        <f t="shared" si="0"/>
        <v>Tutoring</v>
      </c>
      <c r="C17" s="28">
        <v>7560</v>
      </c>
      <c r="D17" s="28">
        <v>578.34</v>
      </c>
      <c r="G17" t="s">
        <v>173</v>
      </c>
      <c r="H17">
        <v>8911.59</v>
      </c>
      <c r="I17">
        <v>7.0000000000000007E-2</v>
      </c>
      <c r="J17" t="s">
        <v>13</v>
      </c>
    </row>
    <row r="18" spans="1:10" x14ac:dyDescent="0.35">
      <c r="A18" t="s">
        <v>158</v>
      </c>
      <c r="B18" t="str">
        <f t="shared" si="0"/>
        <v>Regular Stipends</v>
      </c>
      <c r="C18" s="28">
        <v>9500</v>
      </c>
      <c r="D18" s="28">
        <v>726.75</v>
      </c>
      <c r="G18" t="s">
        <v>174</v>
      </c>
      <c r="H18">
        <v>8993.27</v>
      </c>
      <c r="I18">
        <v>4.8000000000000001E-2</v>
      </c>
      <c r="J18" t="s">
        <v>13</v>
      </c>
    </row>
    <row r="19" spans="1:10" x14ac:dyDescent="0.35">
      <c r="A19" t="s">
        <v>158</v>
      </c>
      <c r="B19" t="str">
        <f t="shared" si="0"/>
        <v>Summer PD</v>
      </c>
      <c r="C19" s="28">
        <v>6160</v>
      </c>
      <c r="D19" s="28"/>
      <c r="G19" t="s">
        <v>175</v>
      </c>
      <c r="H19">
        <v>9585.66</v>
      </c>
      <c r="I19">
        <v>0.1</v>
      </c>
      <c r="J19">
        <v>0.48</v>
      </c>
    </row>
    <row r="20" spans="1:10" x14ac:dyDescent="0.35">
      <c r="A20" t="s">
        <v>158</v>
      </c>
      <c r="B20" t="str">
        <f t="shared" si="0"/>
        <v>Summer School</v>
      </c>
      <c r="C20" s="28">
        <v>28200</v>
      </c>
      <c r="D20" s="28">
        <v>2157.3000000000002</v>
      </c>
      <c r="G20" t="s">
        <v>176</v>
      </c>
      <c r="H20">
        <v>9327.2899999999991</v>
      </c>
      <c r="I20">
        <v>6.8000000000000005E-2</v>
      </c>
      <c r="J20" t="s">
        <v>13</v>
      </c>
    </row>
    <row r="21" spans="1:10" x14ac:dyDescent="0.35">
      <c r="A21" t="s">
        <v>158</v>
      </c>
      <c r="B21" t="str">
        <f t="shared" si="0"/>
        <v>PTO Payout</v>
      </c>
      <c r="C21" s="28">
        <v>30812.5</v>
      </c>
      <c r="D21" s="28">
        <v>2357.15625</v>
      </c>
      <c r="G21" t="s">
        <v>167</v>
      </c>
      <c r="H21">
        <v>8868.2200000000012</v>
      </c>
      <c r="I21">
        <v>0.06</v>
      </c>
      <c r="J21">
        <v>0.31</v>
      </c>
    </row>
    <row r="22" spans="1:10" x14ac:dyDescent="0.35">
      <c r="A22" t="s">
        <v>164</v>
      </c>
      <c r="B22" t="str">
        <f t="shared" si="0"/>
        <v>Tutoring</v>
      </c>
      <c r="C22" s="28">
        <v>2940</v>
      </c>
      <c r="D22" s="28">
        <v>224.91</v>
      </c>
      <c r="G22" t="s">
        <v>162</v>
      </c>
      <c r="H22">
        <v>8620.6099999999988</v>
      </c>
      <c r="I22">
        <v>0.05</v>
      </c>
      <c r="J22">
        <v>0.42</v>
      </c>
    </row>
    <row r="23" spans="1:10" x14ac:dyDescent="0.35">
      <c r="A23" t="s">
        <v>164</v>
      </c>
      <c r="B23" t="str">
        <f t="shared" si="0"/>
        <v>Regular Stipends</v>
      </c>
      <c r="C23" s="28">
        <v>28860</v>
      </c>
      <c r="D23" s="28">
        <v>2207.79</v>
      </c>
    </row>
    <row r="24" spans="1:10" x14ac:dyDescent="0.35">
      <c r="A24" t="s">
        <v>164</v>
      </c>
      <c r="B24" t="str">
        <f t="shared" si="0"/>
        <v>Summer PD</v>
      </c>
      <c r="C24" s="28">
        <v>21560</v>
      </c>
      <c r="D24" s="28">
        <v>1649.34</v>
      </c>
    </row>
    <row r="25" spans="1:10" x14ac:dyDescent="0.35">
      <c r="A25" t="s">
        <v>164</v>
      </c>
      <c r="B25" t="str">
        <f t="shared" si="0"/>
        <v>Summer School</v>
      </c>
      <c r="C25" s="28">
        <v>19800</v>
      </c>
      <c r="D25" s="28">
        <v>1514.7</v>
      </c>
    </row>
    <row r="26" spans="1:10" x14ac:dyDescent="0.35">
      <c r="A26" t="s">
        <v>164</v>
      </c>
      <c r="B26" t="str">
        <f t="shared" si="0"/>
        <v>PTO Payout</v>
      </c>
      <c r="C26" s="28">
        <v>73895.83</v>
      </c>
      <c r="D26" s="28">
        <v>5653.0309950000001</v>
      </c>
    </row>
    <row r="27" spans="1:10" x14ac:dyDescent="0.35">
      <c r="A27" t="s">
        <v>169</v>
      </c>
      <c r="B27" t="str">
        <f t="shared" si="0"/>
        <v>Tutoring</v>
      </c>
      <c r="C27" s="28">
        <v>7560</v>
      </c>
      <c r="D27" s="28">
        <v>578.34</v>
      </c>
    </row>
    <row r="28" spans="1:10" x14ac:dyDescent="0.35">
      <c r="A28" t="s">
        <v>169</v>
      </c>
      <c r="B28" t="str">
        <f t="shared" si="0"/>
        <v>Regular Stipends</v>
      </c>
      <c r="C28" s="28">
        <v>17850</v>
      </c>
      <c r="D28" s="28">
        <v>1365.5249999999999</v>
      </c>
    </row>
    <row r="29" spans="1:10" x14ac:dyDescent="0.35">
      <c r="A29" t="s">
        <v>169</v>
      </c>
      <c r="B29" t="str">
        <f t="shared" si="0"/>
        <v>Summer PD</v>
      </c>
      <c r="C29" s="28">
        <v>10560</v>
      </c>
      <c r="D29" s="28">
        <v>807.84</v>
      </c>
    </row>
    <row r="30" spans="1:10" x14ac:dyDescent="0.35">
      <c r="A30" t="s">
        <v>169</v>
      </c>
      <c r="B30" t="str">
        <f t="shared" si="0"/>
        <v>Summer School</v>
      </c>
      <c r="C30" s="28">
        <v>28200</v>
      </c>
      <c r="D30" s="28">
        <v>2157.3000000000002</v>
      </c>
    </row>
    <row r="31" spans="1:10" x14ac:dyDescent="0.35">
      <c r="A31" t="s">
        <v>169</v>
      </c>
      <c r="B31" t="str">
        <f t="shared" si="0"/>
        <v>PTO Payout</v>
      </c>
      <c r="C31" s="28">
        <v>66328.13</v>
      </c>
      <c r="D31" s="28">
        <v>5074.1019450000003</v>
      </c>
    </row>
    <row r="32" spans="1:10" x14ac:dyDescent="0.35">
      <c r="A32" t="s">
        <v>175</v>
      </c>
      <c r="B32" t="str">
        <f t="shared" si="0"/>
        <v>Tutoring</v>
      </c>
      <c r="C32" s="28">
        <v>7560</v>
      </c>
      <c r="D32" s="28">
        <v>578.34</v>
      </c>
    </row>
    <row r="33" spans="1:4" x14ac:dyDescent="0.35">
      <c r="A33" t="s">
        <v>175</v>
      </c>
      <c r="B33" t="str">
        <f t="shared" si="0"/>
        <v>Regular Stipends</v>
      </c>
      <c r="C33" s="28">
        <v>26400</v>
      </c>
      <c r="D33" s="28">
        <v>2019.6</v>
      </c>
    </row>
    <row r="34" spans="1:4" x14ac:dyDescent="0.35">
      <c r="A34" t="s">
        <v>175</v>
      </c>
      <c r="B34" t="str">
        <f t="shared" si="0"/>
        <v>Summer PD</v>
      </c>
      <c r="C34" s="28">
        <v>12880</v>
      </c>
      <c r="D34" s="28"/>
    </row>
    <row r="35" spans="1:4" x14ac:dyDescent="0.35">
      <c r="A35" t="s">
        <v>175</v>
      </c>
      <c r="B35" t="str">
        <f t="shared" si="0"/>
        <v>Summer School</v>
      </c>
      <c r="C35" s="28">
        <v>17000</v>
      </c>
      <c r="D35" s="28">
        <v>1300.5</v>
      </c>
    </row>
    <row r="36" spans="1:4" x14ac:dyDescent="0.35">
      <c r="A36" t="s">
        <v>175</v>
      </c>
      <c r="B36" t="str">
        <f t="shared" si="0"/>
        <v>PTO Payout</v>
      </c>
      <c r="C36" s="28">
        <v>36947.919999999998</v>
      </c>
      <c r="D36" s="28">
        <v>2826.5158799999999</v>
      </c>
    </row>
    <row r="37" spans="1:4" x14ac:dyDescent="0.35">
      <c r="A37" t="s">
        <v>160</v>
      </c>
      <c r="B37" t="str">
        <f t="shared" si="0"/>
        <v>Tutoring</v>
      </c>
      <c r="C37" s="28">
        <v>2940</v>
      </c>
      <c r="D37" s="28">
        <v>224.91</v>
      </c>
    </row>
    <row r="38" spans="1:4" x14ac:dyDescent="0.35">
      <c r="A38" t="s">
        <v>160</v>
      </c>
      <c r="B38" t="str">
        <f t="shared" si="0"/>
        <v>Regular Stipends</v>
      </c>
      <c r="C38" s="28">
        <v>11200</v>
      </c>
      <c r="D38" s="28">
        <v>856.8</v>
      </c>
    </row>
    <row r="39" spans="1:4" x14ac:dyDescent="0.35">
      <c r="A39" t="s">
        <v>160</v>
      </c>
      <c r="B39" t="str">
        <f t="shared" si="0"/>
        <v>Summer PD</v>
      </c>
      <c r="C39" s="28">
        <v>10120</v>
      </c>
      <c r="D39" s="28"/>
    </row>
    <row r="40" spans="1:4" x14ac:dyDescent="0.35">
      <c r="A40" t="s">
        <v>160</v>
      </c>
      <c r="B40" t="str">
        <f t="shared" si="0"/>
        <v>Summer School</v>
      </c>
      <c r="C40" s="28">
        <v>19800</v>
      </c>
      <c r="D40" s="28">
        <v>1514.7</v>
      </c>
    </row>
    <row r="41" spans="1:4" x14ac:dyDescent="0.35">
      <c r="A41" t="s">
        <v>160</v>
      </c>
      <c r="B41" t="str">
        <f t="shared" si="0"/>
        <v>PTO Payout</v>
      </c>
      <c r="C41" s="28">
        <v>38078.129999999997</v>
      </c>
      <c r="D41" s="28">
        <v>2912.9769449999999</v>
      </c>
    </row>
    <row r="42" spans="1:4" x14ac:dyDescent="0.35">
      <c r="A42" t="s">
        <v>159</v>
      </c>
      <c r="B42" t="str">
        <f t="shared" si="0"/>
        <v>Tutoring</v>
      </c>
      <c r="C42" s="28">
        <v>2940</v>
      </c>
      <c r="D42" s="28">
        <v>224.91</v>
      </c>
    </row>
    <row r="43" spans="1:4" x14ac:dyDescent="0.35">
      <c r="A43" t="s">
        <v>159</v>
      </c>
      <c r="B43" t="str">
        <f t="shared" si="0"/>
        <v>Regular Stipends</v>
      </c>
      <c r="C43" s="28">
        <v>8200</v>
      </c>
      <c r="D43" s="28">
        <v>627.29999999999995</v>
      </c>
    </row>
    <row r="44" spans="1:4" x14ac:dyDescent="0.35">
      <c r="A44" t="s">
        <v>159</v>
      </c>
      <c r="B44" t="str">
        <f t="shared" si="0"/>
        <v>Summer PD</v>
      </c>
      <c r="C44" s="28">
        <v>4840</v>
      </c>
      <c r="D44" s="28"/>
    </row>
    <row r="45" spans="1:4" x14ac:dyDescent="0.35">
      <c r="A45" t="s">
        <v>159</v>
      </c>
      <c r="B45" t="str">
        <f t="shared" si="0"/>
        <v>Summer School</v>
      </c>
      <c r="C45" s="28">
        <v>19800</v>
      </c>
      <c r="D45" s="28">
        <v>1514.7</v>
      </c>
    </row>
    <row r="46" spans="1:4" x14ac:dyDescent="0.35">
      <c r="A46" t="s">
        <v>159</v>
      </c>
      <c r="B46" t="str">
        <f t="shared" si="0"/>
        <v>PTO Payout</v>
      </c>
      <c r="C46" s="28">
        <v>22406.25</v>
      </c>
      <c r="D46" s="28">
        <v>1714.078125</v>
      </c>
    </row>
    <row r="47" spans="1:4" x14ac:dyDescent="0.35">
      <c r="A47" t="s">
        <v>166</v>
      </c>
      <c r="B47" t="str">
        <f t="shared" si="0"/>
        <v>Tutoring</v>
      </c>
      <c r="C47" s="28">
        <v>5127.68</v>
      </c>
      <c r="D47" s="28">
        <v>392.26751999999999</v>
      </c>
    </row>
    <row r="48" spans="1:4" x14ac:dyDescent="0.35">
      <c r="A48" t="s">
        <v>166</v>
      </c>
      <c r="B48" t="str">
        <f t="shared" si="0"/>
        <v>Regular Stipends</v>
      </c>
      <c r="C48" s="28">
        <v>11000</v>
      </c>
      <c r="D48" s="28">
        <v>841.5</v>
      </c>
    </row>
    <row r="49" spans="1:4" x14ac:dyDescent="0.35">
      <c r="A49" t="s">
        <v>166</v>
      </c>
      <c r="B49" t="str">
        <f t="shared" si="0"/>
        <v>Summer PD</v>
      </c>
      <c r="C49" s="28">
        <v>7920</v>
      </c>
      <c r="D49" s="28"/>
    </row>
    <row r="50" spans="1:4" x14ac:dyDescent="0.35">
      <c r="A50" t="s">
        <v>166</v>
      </c>
      <c r="B50" t="str">
        <f t="shared" si="0"/>
        <v>Summer School</v>
      </c>
      <c r="C50" s="28">
        <v>28200</v>
      </c>
      <c r="D50" s="28">
        <v>2157.3000000000002</v>
      </c>
    </row>
    <row r="51" spans="1:4" x14ac:dyDescent="0.35">
      <c r="A51" t="s">
        <v>166</v>
      </c>
      <c r="B51" t="str">
        <f t="shared" si="0"/>
        <v>PTO Payout</v>
      </c>
      <c r="C51" s="28">
        <v>30125</v>
      </c>
      <c r="D51" s="28">
        <v>2304.5625</v>
      </c>
    </row>
    <row r="52" spans="1:4" x14ac:dyDescent="0.35">
      <c r="A52" t="s">
        <v>1</v>
      </c>
      <c r="B52" t="str">
        <f t="shared" si="0"/>
        <v>Tutoring</v>
      </c>
      <c r="C52" s="28">
        <v>3780</v>
      </c>
      <c r="D52" s="28">
        <v>289.17</v>
      </c>
    </row>
    <row r="53" spans="1:4" x14ac:dyDescent="0.35">
      <c r="A53" t="s">
        <v>1</v>
      </c>
      <c r="B53" t="str">
        <f t="shared" si="0"/>
        <v>Regular Stipends</v>
      </c>
      <c r="C53" s="28">
        <v>7200</v>
      </c>
      <c r="D53" s="28">
        <v>550.79999999999995</v>
      </c>
    </row>
    <row r="54" spans="1:4" x14ac:dyDescent="0.35">
      <c r="A54" t="s">
        <v>1</v>
      </c>
      <c r="B54" t="str">
        <f t="shared" si="0"/>
        <v>Summer PD</v>
      </c>
      <c r="C54" s="28">
        <v>3960</v>
      </c>
      <c r="D54" s="28">
        <v>302.94</v>
      </c>
    </row>
    <row r="55" spans="1:4" x14ac:dyDescent="0.35">
      <c r="A55" t="s">
        <v>1</v>
      </c>
      <c r="B55" t="str">
        <f t="shared" si="0"/>
        <v>Summer School</v>
      </c>
      <c r="C55" s="28">
        <v>22600</v>
      </c>
      <c r="D55" s="28">
        <v>1728.8999999999999</v>
      </c>
    </row>
    <row r="56" spans="1:4" x14ac:dyDescent="0.35">
      <c r="A56" t="s">
        <v>1</v>
      </c>
      <c r="B56" t="str">
        <f t="shared" si="0"/>
        <v>PTO Payout</v>
      </c>
      <c r="C56" s="28">
        <v>13218.75</v>
      </c>
      <c r="D56" s="28">
        <v>1011.234375</v>
      </c>
    </row>
    <row r="57" spans="1:4" x14ac:dyDescent="0.35">
      <c r="A57" t="s">
        <v>163</v>
      </c>
      <c r="B57" t="str">
        <f t="shared" si="0"/>
        <v>Tutoring</v>
      </c>
      <c r="C57" s="28">
        <v>7560</v>
      </c>
      <c r="D57" s="28">
        <v>578.34</v>
      </c>
    </row>
    <row r="58" spans="1:4" x14ac:dyDescent="0.35">
      <c r="A58" t="s">
        <v>163</v>
      </c>
      <c r="B58" t="str">
        <f t="shared" si="0"/>
        <v>Regular Stipends</v>
      </c>
      <c r="C58" s="28">
        <v>21000</v>
      </c>
      <c r="D58" s="28">
        <v>1606.5</v>
      </c>
    </row>
    <row r="59" spans="1:4" x14ac:dyDescent="0.35">
      <c r="A59" t="s">
        <v>163</v>
      </c>
      <c r="B59" t="str">
        <f t="shared" si="0"/>
        <v>Summer PD</v>
      </c>
      <c r="C59" s="28">
        <v>17160</v>
      </c>
      <c r="D59" s="28"/>
    </row>
    <row r="60" spans="1:4" x14ac:dyDescent="0.35">
      <c r="A60" t="s">
        <v>163</v>
      </c>
      <c r="B60" t="str">
        <f t="shared" si="0"/>
        <v>Summer School</v>
      </c>
      <c r="C60" s="28">
        <v>28200</v>
      </c>
      <c r="D60" s="28">
        <v>2157.3000000000002</v>
      </c>
    </row>
    <row r="61" spans="1:4" x14ac:dyDescent="0.35">
      <c r="A61" t="s">
        <v>163</v>
      </c>
      <c r="B61" t="str">
        <f t="shared" si="0"/>
        <v>PTO Payout</v>
      </c>
      <c r="C61" s="28">
        <v>76296.88</v>
      </c>
      <c r="D61" s="28">
        <v>5836.7113200000003</v>
      </c>
    </row>
    <row r="62" spans="1:4" x14ac:dyDescent="0.35">
      <c r="A62" t="s">
        <v>176</v>
      </c>
      <c r="B62" t="str">
        <f t="shared" si="0"/>
        <v>Tutoring</v>
      </c>
      <c r="C62" s="28">
        <v>7560</v>
      </c>
      <c r="D62" s="28">
        <v>578.34</v>
      </c>
    </row>
    <row r="63" spans="1:4" x14ac:dyDescent="0.35">
      <c r="A63" t="s">
        <v>176</v>
      </c>
      <c r="B63" t="str">
        <f t="shared" si="0"/>
        <v>Regular Stipends</v>
      </c>
      <c r="C63" s="28">
        <v>46000</v>
      </c>
      <c r="D63" s="28">
        <v>3519</v>
      </c>
    </row>
    <row r="64" spans="1:4" x14ac:dyDescent="0.35">
      <c r="A64" t="s">
        <v>176</v>
      </c>
      <c r="B64" t="str">
        <f t="shared" si="0"/>
        <v>Summer PD</v>
      </c>
      <c r="C64" s="28">
        <v>17360</v>
      </c>
      <c r="D64" s="28"/>
    </row>
    <row r="65" spans="1:4" x14ac:dyDescent="0.35">
      <c r="A65" t="s">
        <v>176</v>
      </c>
      <c r="B65" t="str">
        <f t="shared" si="0"/>
        <v>Summer School</v>
      </c>
      <c r="C65" s="28">
        <v>22600</v>
      </c>
      <c r="D65" s="28">
        <v>1728.8999999999999</v>
      </c>
    </row>
    <row r="66" spans="1:4" x14ac:dyDescent="0.35">
      <c r="A66" t="s">
        <v>176</v>
      </c>
      <c r="B66" t="str">
        <f t="shared" si="0"/>
        <v>PTO Payout</v>
      </c>
      <c r="C66" s="28">
        <v>62609.38</v>
      </c>
      <c r="D66" s="28">
        <v>4789.6175699999994</v>
      </c>
    </row>
    <row r="67" spans="1:4" x14ac:dyDescent="0.35">
      <c r="A67" t="s">
        <v>165</v>
      </c>
      <c r="B67" t="str">
        <f t="shared" si="0"/>
        <v>Tutoring</v>
      </c>
      <c r="C67" s="28">
        <v>2940</v>
      </c>
      <c r="D67" s="28">
        <v>224.91</v>
      </c>
    </row>
    <row r="68" spans="1:4" x14ac:dyDescent="0.35">
      <c r="A68" t="s">
        <v>165</v>
      </c>
      <c r="B68" t="str">
        <f t="shared" si="0"/>
        <v>Regular Stipends</v>
      </c>
      <c r="C68" s="28">
        <v>11200</v>
      </c>
      <c r="D68" s="28">
        <v>856.8</v>
      </c>
    </row>
    <row r="69" spans="1:4" x14ac:dyDescent="0.35">
      <c r="A69" t="s">
        <v>165</v>
      </c>
      <c r="B69" t="str">
        <f t="shared" si="0"/>
        <v>Summer PD</v>
      </c>
      <c r="C69" s="28">
        <v>20680</v>
      </c>
      <c r="D69" s="28"/>
    </row>
    <row r="70" spans="1:4" x14ac:dyDescent="0.35">
      <c r="A70" t="s">
        <v>165</v>
      </c>
      <c r="B70" t="str">
        <f t="shared" si="0"/>
        <v>Summer School</v>
      </c>
      <c r="C70" s="28">
        <v>22600</v>
      </c>
      <c r="D70" s="28">
        <v>1728.8999999999999</v>
      </c>
    </row>
    <row r="71" spans="1:4" x14ac:dyDescent="0.35">
      <c r="A71" t="s">
        <v>165</v>
      </c>
      <c r="B71" t="str">
        <f t="shared" si="0"/>
        <v>PTO Payout</v>
      </c>
      <c r="C71" s="28">
        <v>64218.75</v>
      </c>
      <c r="D71" s="28">
        <v>4912.734375</v>
      </c>
    </row>
    <row r="72" spans="1:4" x14ac:dyDescent="0.35">
      <c r="A72" t="s">
        <v>170</v>
      </c>
      <c r="B72" t="str">
        <f t="shared" ref="B72:B96" si="1">B67</f>
        <v>Tutoring</v>
      </c>
      <c r="C72" s="28">
        <v>7560</v>
      </c>
      <c r="D72" s="28">
        <v>578.34</v>
      </c>
    </row>
    <row r="73" spans="1:4" x14ac:dyDescent="0.35">
      <c r="A73" t="s">
        <v>170</v>
      </c>
      <c r="B73" t="str">
        <f t="shared" si="1"/>
        <v>Regular Stipends</v>
      </c>
      <c r="C73" s="28">
        <v>11500</v>
      </c>
      <c r="D73" s="28">
        <v>879.75</v>
      </c>
    </row>
    <row r="74" spans="1:4" x14ac:dyDescent="0.35">
      <c r="A74" t="s">
        <v>170</v>
      </c>
      <c r="B74" t="str">
        <f t="shared" si="1"/>
        <v>Summer PD</v>
      </c>
      <c r="C74" s="28">
        <v>6600</v>
      </c>
      <c r="D74" s="28"/>
    </row>
    <row r="75" spans="1:4" x14ac:dyDescent="0.35">
      <c r="A75" t="s">
        <v>170</v>
      </c>
      <c r="B75" t="str">
        <f t="shared" si="1"/>
        <v>Summer School</v>
      </c>
      <c r="C75" s="28">
        <v>28200</v>
      </c>
      <c r="D75" s="28">
        <v>2157.3000000000002</v>
      </c>
    </row>
    <row r="76" spans="1:4" x14ac:dyDescent="0.35">
      <c r="A76" t="s">
        <v>170</v>
      </c>
      <c r="B76" t="str">
        <f t="shared" si="1"/>
        <v>PTO Payout</v>
      </c>
      <c r="C76" s="28">
        <v>18406.25</v>
      </c>
      <c r="D76" s="28">
        <v>1408.078125</v>
      </c>
    </row>
    <row r="77" spans="1:4" x14ac:dyDescent="0.35">
      <c r="A77" t="s">
        <v>174</v>
      </c>
      <c r="B77" t="str">
        <f t="shared" si="1"/>
        <v>Tutoring</v>
      </c>
      <c r="C77" s="28">
        <v>7560</v>
      </c>
      <c r="D77" s="28">
        <v>578.34</v>
      </c>
    </row>
    <row r="78" spans="1:4" x14ac:dyDescent="0.35">
      <c r="A78" t="s">
        <v>174</v>
      </c>
      <c r="B78" t="str">
        <f t="shared" si="1"/>
        <v>Regular Stipends</v>
      </c>
      <c r="C78" s="28">
        <v>14500</v>
      </c>
      <c r="D78" s="28">
        <v>1109.25</v>
      </c>
    </row>
    <row r="79" spans="1:4" x14ac:dyDescent="0.35">
      <c r="A79" t="s">
        <v>174</v>
      </c>
      <c r="B79" t="str">
        <f t="shared" si="1"/>
        <v>Summer PD</v>
      </c>
      <c r="C79" s="28">
        <v>18040</v>
      </c>
      <c r="D79" s="28"/>
    </row>
    <row r="80" spans="1:4" x14ac:dyDescent="0.35">
      <c r="A80" t="s">
        <v>174</v>
      </c>
      <c r="B80" t="str">
        <f t="shared" si="1"/>
        <v>Summer School</v>
      </c>
      <c r="C80" s="28">
        <v>31000</v>
      </c>
      <c r="D80" s="28">
        <v>2371.5</v>
      </c>
    </row>
    <row r="81" spans="1:4" x14ac:dyDescent="0.35">
      <c r="A81" t="s">
        <v>174</v>
      </c>
      <c r="B81" t="str">
        <f t="shared" si="1"/>
        <v>PTO Payout</v>
      </c>
      <c r="C81" s="28">
        <v>56531.25</v>
      </c>
      <c r="D81" s="28">
        <v>4324.640625</v>
      </c>
    </row>
    <row r="82" spans="1:4" x14ac:dyDescent="0.35">
      <c r="A82" t="s">
        <v>172</v>
      </c>
      <c r="B82" t="str">
        <f t="shared" si="1"/>
        <v>Tutoring</v>
      </c>
      <c r="C82" s="28">
        <v>2940</v>
      </c>
      <c r="D82" s="28">
        <v>224.91</v>
      </c>
    </row>
    <row r="83" spans="1:4" x14ac:dyDescent="0.35">
      <c r="A83" t="s">
        <v>172</v>
      </c>
      <c r="B83" t="str">
        <f t="shared" si="1"/>
        <v>Regular Stipends</v>
      </c>
      <c r="C83" s="28">
        <v>13204</v>
      </c>
      <c r="D83" s="28">
        <v>1010.106</v>
      </c>
    </row>
    <row r="84" spans="1:4" x14ac:dyDescent="0.35">
      <c r="A84" t="s">
        <v>172</v>
      </c>
      <c r="B84" t="str">
        <f t="shared" si="1"/>
        <v>Summer PD</v>
      </c>
      <c r="C84" s="28">
        <v>19800</v>
      </c>
      <c r="D84" s="28"/>
    </row>
    <row r="85" spans="1:4" x14ac:dyDescent="0.35">
      <c r="A85" t="s">
        <v>172</v>
      </c>
      <c r="B85" t="str">
        <f t="shared" si="1"/>
        <v>Summer School</v>
      </c>
      <c r="C85" s="28">
        <v>22600</v>
      </c>
      <c r="D85" s="28">
        <v>1728.8999999999999</v>
      </c>
    </row>
    <row r="86" spans="1:4" x14ac:dyDescent="0.35">
      <c r="A86" t="s">
        <v>172</v>
      </c>
      <c r="B86" t="str">
        <f t="shared" si="1"/>
        <v>PTO Payout</v>
      </c>
      <c r="C86" s="28">
        <v>77997.67</v>
      </c>
      <c r="D86" s="28">
        <v>5966.8217549999999</v>
      </c>
    </row>
    <row r="87" spans="1:4" x14ac:dyDescent="0.35">
      <c r="A87" t="s">
        <v>171</v>
      </c>
      <c r="B87" t="str">
        <f t="shared" si="1"/>
        <v>Tutoring</v>
      </c>
      <c r="C87" s="28">
        <v>7560</v>
      </c>
      <c r="D87" s="28">
        <v>578.34</v>
      </c>
    </row>
    <row r="88" spans="1:4" x14ac:dyDescent="0.35">
      <c r="A88" t="s">
        <v>171</v>
      </c>
      <c r="B88" t="str">
        <f t="shared" si="1"/>
        <v>Regular Stipends</v>
      </c>
      <c r="C88" s="28">
        <v>9500</v>
      </c>
      <c r="D88" s="28">
        <v>726.75</v>
      </c>
    </row>
    <row r="89" spans="1:4" x14ac:dyDescent="0.35">
      <c r="A89" t="s">
        <v>171</v>
      </c>
      <c r="B89" t="str">
        <f t="shared" si="1"/>
        <v>Summer PD</v>
      </c>
      <c r="C89" s="28">
        <v>13640</v>
      </c>
      <c r="D89" s="28"/>
    </row>
    <row r="90" spans="1:4" x14ac:dyDescent="0.35">
      <c r="A90" t="s">
        <v>171</v>
      </c>
      <c r="B90" t="str">
        <f t="shared" si="1"/>
        <v>Summer School</v>
      </c>
      <c r="C90" s="28">
        <v>28200</v>
      </c>
      <c r="D90" s="28">
        <v>2157.3000000000002</v>
      </c>
    </row>
    <row r="91" spans="1:4" x14ac:dyDescent="0.35">
      <c r="A91" t="s">
        <v>171</v>
      </c>
      <c r="B91" t="str">
        <f t="shared" si="1"/>
        <v>PTO Payout</v>
      </c>
      <c r="C91" s="28">
        <v>41687.5</v>
      </c>
      <c r="D91" s="28">
        <v>3189.09375</v>
      </c>
    </row>
    <row r="92" spans="1:4" x14ac:dyDescent="0.35">
      <c r="A92" t="s">
        <v>173</v>
      </c>
      <c r="B92" t="str">
        <f t="shared" si="1"/>
        <v>Tutoring</v>
      </c>
      <c r="C92" s="28">
        <v>7560</v>
      </c>
      <c r="D92" s="28">
        <v>578.34</v>
      </c>
    </row>
    <row r="93" spans="1:4" x14ac:dyDescent="0.35">
      <c r="A93" t="s">
        <v>173</v>
      </c>
      <c r="B93" t="str">
        <f t="shared" si="1"/>
        <v>Regular Stipends</v>
      </c>
      <c r="C93" s="28">
        <v>9500</v>
      </c>
      <c r="D93" s="28">
        <v>726.75</v>
      </c>
    </row>
    <row r="94" spans="1:4" x14ac:dyDescent="0.35">
      <c r="A94" t="s">
        <v>173</v>
      </c>
      <c r="B94" t="str">
        <f t="shared" si="1"/>
        <v>Summer PD</v>
      </c>
      <c r="C94" s="28">
        <v>18040</v>
      </c>
      <c r="D94" s="28">
        <v>1380.06</v>
      </c>
    </row>
    <row r="95" spans="1:4" x14ac:dyDescent="0.35">
      <c r="A95" t="s">
        <v>173</v>
      </c>
      <c r="B95" t="str">
        <f t="shared" si="1"/>
        <v>Summer School</v>
      </c>
      <c r="C95" s="28">
        <v>28200</v>
      </c>
      <c r="D95" s="28">
        <v>2157.3000000000002</v>
      </c>
    </row>
    <row r="96" spans="1:4" x14ac:dyDescent="0.35">
      <c r="A96" t="s">
        <v>173</v>
      </c>
      <c r="B96" t="str">
        <f t="shared" si="1"/>
        <v>PTO Payout</v>
      </c>
      <c r="C96" s="28">
        <v>72539</v>
      </c>
      <c r="D96" s="28">
        <v>5549.2335000000003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13FC-1D8C-48A2-99B4-2A3DCAA975BB}">
  <sheetPr>
    <tabColor theme="5" tint="0.59999389629810485"/>
  </sheetPr>
  <dimension ref="A1:P50"/>
  <sheetViews>
    <sheetView zoomScale="120" zoomScaleNormal="120" workbookViewId="0">
      <selection activeCell="C30" sqref="C30"/>
    </sheetView>
  </sheetViews>
  <sheetFormatPr defaultRowHeight="14.5" x14ac:dyDescent="0.35"/>
  <cols>
    <col min="1" max="1" width="47.54296875" bestFit="1" customWidth="1"/>
    <col min="2" max="2" width="28.453125" bestFit="1" customWidth="1"/>
    <col min="3" max="3" width="13.1796875" style="28" customWidth="1"/>
    <col min="4" max="4" width="23.1796875" style="28" customWidth="1"/>
    <col min="5" max="5" width="26.1796875" customWidth="1"/>
    <col min="6" max="6" width="27.453125" customWidth="1"/>
    <col min="7" max="7" width="11.54296875" bestFit="1" customWidth="1"/>
    <col min="8" max="8" width="15.453125" customWidth="1"/>
    <col min="9" max="9" width="11.26953125" bestFit="1" customWidth="1"/>
    <col min="10" max="10" width="13.1796875" customWidth="1"/>
    <col min="11" max="11" width="10.1796875" bestFit="1" customWidth="1"/>
    <col min="12" max="12" width="29.81640625" customWidth="1"/>
    <col min="13" max="13" width="9.453125" bestFit="1" customWidth="1"/>
  </cols>
  <sheetData>
    <row r="1" spans="1:9" ht="21" x14ac:dyDescent="0.5">
      <c r="A1" s="13" t="s">
        <v>178</v>
      </c>
      <c r="B1" t="s">
        <v>179</v>
      </c>
      <c r="C1" s="28" t="s">
        <v>180</v>
      </c>
      <c r="D1" s="28" t="s">
        <v>181</v>
      </c>
      <c r="E1" t="s">
        <v>92</v>
      </c>
      <c r="F1" s="246" t="s">
        <v>391</v>
      </c>
      <c r="I1" s="28"/>
    </row>
    <row r="2" spans="1:9" x14ac:dyDescent="0.35">
      <c r="A2" s="14" t="s">
        <v>182</v>
      </c>
      <c r="C2" s="115"/>
      <c r="I2" s="28"/>
    </row>
    <row r="3" spans="1:9" x14ac:dyDescent="0.35">
      <c r="A3" s="15" t="s">
        <v>183</v>
      </c>
      <c r="B3" t="s">
        <v>386</v>
      </c>
      <c r="C3" s="145">
        <v>1597</v>
      </c>
      <c r="D3" s="115">
        <f t="shared" ref="D3:D9" si="0">C3*12</f>
        <v>19164</v>
      </c>
      <c r="E3" t="s">
        <v>3</v>
      </c>
      <c r="F3" s="91"/>
    </row>
    <row r="4" spans="1:9" x14ac:dyDescent="0.35">
      <c r="A4" s="15" t="s">
        <v>184</v>
      </c>
      <c r="B4" t="s">
        <v>436</v>
      </c>
      <c r="C4" s="145">
        <v>273.49</v>
      </c>
      <c r="D4" s="115">
        <f>C4*12</f>
        <v>3281.88</v>
      </c>
      <c r="E4" t="s">
        <v>3</v>
      </c>
    </row>
    <row r="5" spans="1:9" ht="21.5" x14ac:dyDescent="0.35">
      <c r="A5" s="15" t="s">
        <v>185</v>
      </c>
      <c r="B5" s="245" t="s">
        <v>385</v>
      </c>
      <c r="C5" s="118">
        <v>250</v>
      </c>
      <c r="D5" s="115">
        <f t="shared" si="0"/>
        <v>3000</v>
      </c>
      <c r="E5" t="s">
        <v>3</v>
      </c>
    </row>
    <row r="6" spans="1:9" x14ac:dyDescent="0.35">
      <c r="A6" s="282" t="s">
        <v>186</v>
      </c>
      <c r="B6" s="283"/>
      <c r="C6" s="284">
        <v>115</v>
      </c>
      <c r="D6" s="285">
        <f>C6*12</f>
        <v>1380</v>
      </c>
      <c r="E6" s="283" t="s">
        <v>3</v>
      </c>
      <c r="F6" s="90" t="s">
        <v>438</v>
      </c>
    </row>
    <row r="7" spans="1:9" x14ac:dyDescent="0.35">
      <c r="A7" s="15" t="s">
        <v>187</v>
      </c>
      <c r="B7" t="s">
        <v>387</v>
      </c>
      <c r="C7" s="145">
        <v>122</v>
      </c>
      <c r="D7" s="28">
        <f t="shared" si="0"/>
        <v>1464</v>
      </c>
      <c r="E7" t="s">
        <v>3</v>
      </c>
    </row>
    <row r="8" spans="1:9" x14ac:dyDescent="0.35">
      <c r="A8" s="15" t="s">
        <v>188</v>
      </c>
      <c r="B8" t="s">
        <v>384</v>
      </c>
      <c r="C8" s="145">
        <v>407</v>
      </c>
      <c r="D8" s="28">
        <f t="shared" si="0"/>
        <v>4884</v>
      </c>
      <c r="E8" t="s">
        <v>3</v>
      </c>
    </row>
    <row r="9" spans="1:9" x14ac:dyDescent="0.35">
      <c r="A9" s="15" t="s">
        <v>435</v>
      </c>
      <c r="B9" s="281" t="s">
        <v>437</v>
      </c>
      <c r="C9" s="145">
        <v>180</v>
      </c>
      <c r="D9" s="28">
        <f t="shared" si="0"/>
        <v>2160</v>
      </c>
      <c r="E9" t="s">
        <v>3</v>
      </c>
    </row>
    <row r="10" spans="1:9" x14ac:dyDescent="0.35">
      <c r="A10" s="16" t="s">
        <v>189</v>
      </c>
      <c r="C10" s="115"/>
      <c r="D10" s="287">
        <f>SUM(D3:D9)</f>
        <v>35333.880000000005</v>
      </c>
    </row>
    <row r="11" spans="1:9" x14ac:dyDescent="0.35">
      <c r="A11" s="48"/>
      <c r="C11" s="115"/>
      <c r="D11" s="286">
        <f>D10*0.03</f>
        <v>1060.0164000000002</v>
      </c>
      <c r="E11" t="s">
        <v>439</v>
      </c>
    </row>
    <row r="12" spans="1:9" ht="15" thickBot="1" x14ac:dyDescent="0.4">
      <c r="A12" s="48"/>
      <c r="C12" s="115"/>
      <c r="D12" s="288">
        <f>D10+D11</f>
        <v>36393.896400000005</v>
      </c>
      <c r="E12" t="s">
        <v>0</v>
      </c>
    </row>
    <row r="13" spans="1:9" x14ac:dyDescent="0.35">
      <c r="A13" s="48"/>
      <c r="C13" s="115"/>
      <c r="D13" s="259"/>
    </row>
    <row r="14" spans="1:9" x14ac:dyDescent="0.35">
      <c r="A14" s="17" t="s">
        <v>190</v>
      </c>
      <c r="D14" s="259"/>
    </row>
    <row r="15" spans="1:9" x14ac:dyDescent="0.35">
      <c r="A15" s="15" t="s">
        <v>191</v>
      </c>
      <c r="B15" t="s">
        <v>440</v>
      </c>
      <c r="C15" s="115"/>
      <c r="D15" s="28">
        <v>220</v>
      </c>
      <c r="E15" t="s">
        <v>3</v>
      </c>
      <c r="H15" s="91"/>
    </row>
    <row r="16" spans="1:9" x14ac:dyDescent="0.35">
      <c r="A16" s="15" t="s">
        <v>192</v>
      </c>
      <c r="D16" s="115">
        <f t="shared" ref="D16:D19" si="1">C16*12</f>
        <v>0</v>
      </c>
      <c r="E16" t="s">
        <v>3</v>
      </c>
      <c r="F16" s="91"/>
      <c r="G16" s="91"/>
      <c r="H16" s="91"/>
    </row>
    <row r="17" spans="1:10" x14ac:dyDescent="0.35">
      <c r="A17" s="15" t="s">
        <v>193</v>
      </c>
      <c r="B17" t="s">
        <v>389</v>
      </c>
      <c r="C17" s="28">
        <v>85</v>
      </c>
      <c r="D17" s="115">
        <f t="shared" si="1"/>
        <v>1020</v>
      </c>
      <c r="E17" t="s">
        <v>3</v>
      </c>
    </row>
    <row r="18" spans="1:10" x14ac:dyDescent="0.35">
      <c r="A18" s="15" t="s">
        <v>194</v>
      </c>
      <c r="D18" s="115">
        <f>C18*12</f>
        <v>0</v>
      </c>
      <c r="E18" t="s">
        <v>3</v>
      </c>
      <c r="F18" s="128"/>
    </row>
    <row r="19" spans="1:10" x14ac:dyDescent="0.35">
      <c r="A19" s="15" t="s">
        <v>195</v>
      </c>
      <c r="B19" t="s">
        <v>388</v>
      </c>
      <c r="C19" s="28">
        <v>2282</v>
      </c>
      <c r="D19" s="115">
        <f t="shared" si="1"/>
        <v>27384</v>
      </c>
      <c r="E19" t="s">
        <v>3</v>
      </c>
    </row>
    <row r="20" spans="1:10" x14ac:dyDescent="0.35">
      <c r="A20" s="15" t="s">
        <v>196</v>
      </c>
      <c r="B20" t="s">
        <v>390</v>
      </c>
      <c r="C20" s="28">
        <v>300</v>
      </c>
      <c r="D20" s="115">
        <f>C20*12</f>
        <v>3600</v>
      </c>
      <c r="E20" t="s">
        <v>3</v>
      </c>
    </row>
    <row r="21" spans="1:10" x14ac:dyDescent="0.35">
      <c r="A21" s="92" t="s">
        <v>197</v>
      </c>
      <c r="B21" s="289" t="s">
        <v>442</v>
      </c>
      <c r="D21" s="115">
        <v>12000</v>
      </c>
      <c r="E21" t="s">
        <v>3</v>
      </c>
      <c r="F21" s="90"/>
    </row>
    <row r="22" spans="1:10" x14ac:dyDescent="0.35">
      <c r="A22" s="15" t="s">
        <v>198</v>
      </c>
      <c r="B22" t="s">
        <v>441</v>
      </c>
      <c r="D22" s="28">
        <v>388</v>
      </c>
      <c r="E22" t="s">
        <v>3</v>
      </c>
      <c r="F22" s="129"/>
    </row>
    <row r="23" spans="1:10" x14ac:dyDescent="0.35">
      <c r="A23" s="15" t="s">
        <v>199</v>
      </c>
      <c r="D23" s="28">
        <f>C23*4</f>
        <v>0</v>
      </c>
      <c r="E23" t="s">
        <v>3</v>
      </c>
    </row>
    <row r="24" spans="1:10" x14ac:dyDescent="0.35">
      <c r="A24" s="15" t="s">
        <v>426</v>
      </c>
      <c r="B24" t="s">
        <v>426</v>
      </c>
      <c r="C24" s="28">
        <v>642</v>
      </c>
      <c r="D24" s="115">
        <f>C24*12</f>
        <v>7704</v>
      </c>
      <c r="E24" t="s">
        <v>3</v>
      </c>
    </row>
    <row r="25" spans="1:10" x14ac:dyDescent="0.35">
      <c r="A25" s="15"/>
      <c r="D25" s="106">
        <f>SUM(D15:D24)</f>
        <v>52316</v>
      </c>
    </row>
    <row r="26" spans="1:10" x14ac:dyDescent="0.35">
      <c r="A26" s="15"/>
      <c r="D26" s="28">
        <f>D25*0.03</f>
        <v>1569.48</v>
      </c>
      <c r="E26" t="s">
        <v>439</v>
      </c>
      <c r="I26" t="s">
        <v>461</v>
      </c>
      <c r="J26" t="s">
        <v>200</v>
      </c>
    </row>
    <row r="27" spans="1:10" ht="15" thickBot="1" x14ac:dyDescent="0.4">
      <c r="A27" s="15"/>
      <c r="D27" s="288">
        <f>D25+D26</f>
        <v>53885.48</v>
      </c>
      <c r="E27" t="s">
        <v>0</v>
      </c>
      <c r="I27">
        <f>50*20*10</f>
        <v>10000</v>
      </c>
      <c r="J27">
        <f>32*8*20</f>
        <v>5120</v>
      </c>
    </row>
    <row r="28" spans="1:10" x14ac:dyDescent="0.35">
      <c r="A28" s="16" t="s">
        <v>200</v>
      </c>
      <c r="C28" s="115"/>
      <c r="F28" t="s">
        <v>201</v>
      </c>
      <c r="H28" t="s">
        <v>6</v>
      </c>
      <c r="I28">
        <f>I27*10</f>
        <v>100000</v>
      </c>
      <c r="J28">
        <f>J27*10</f>
        <v>51200</v>
      </c>
    </row>
    <row r="29" spans="1:10" x14ac:dyDescent="0.35">
      <c r="A29" s="15" t="s">
        <v>48</v>
      </c>
      <c r="C29" s="118">
        <v>15000</v>
      </c>
      <c r="D29" s="146">
        <f>C29*10</f>
        <v>150000</v>
      </c>
      <c r="E29" t="s">
        <v>202</v>
      </c>
      <c r="F29" s="28"/>
      <c r="G29" s="28">
        <f>D29-F29</f>
        <v>150000</v>
      </c>
      <c r="H29" s="147"/>
    </row>
    <row r="30" spans="1:10" x14ac:dyDescent="0.35">
      <c r="A30" s="16" t="s">
        <v>46</v>
      </c>
      <c r="C30" s="118"/>
      <c r="D30" s="28">
        <f t="shared" ref="D30:D31" si="2">C30*12</f>
        <v>0</v>
      </c>
      <c r="E30" t="s">
        <v>3</v>
      </c>
    </row>
    <row r="31" spans="1:10" x14ac:dyDescent="0.35">
      <c r="A31" s="15"/>
      <c r="B31" t="s">
        <v>449</v>
      </c>
      <c r="C31" s="28">
        <v>150</v>
      </c>
      <c r="D31" s="28">
        <f t="shared" si="2"/>
        <v>1800</v>
      </c>
    </row>
    <row r="33" spans="1:6" ht="15" thickBot="1" x14ac:dyDescent="0.4"/>
    <row r="34" spans="1:6" ht="21" x14ac:dyDescent="0.5">
      <c r="A34" s="18" t="s">
        <v>203</v>
      </c>
      <c r="C34" s="28" t="s">
        <v>180</v>
      </c>
      <c r="D34" s="28" t="s">
        <v>181</v>
      </c>
    </row>
    <row r="35" spans="1:6" x14ac:dyDescent="0.35">
      <c r="A35" t="s">
        <v>50</v>
      </c>
      <c r="E35" t="s">
        <v>3</v>
      </c>
    </row>
    <row r="37" spans="1:6" ht="15" thickBot="1" x14ac:dyDescent="0.4"/>
    <row r="38" spans="1:6" ht="21" x14ac:dyDescent="0.5">
      <c r="A38" s="18" t="s">
        <v>204</v>
      </c>
      <c r="D38" s="28" t="s">
        <v>181</v>
      </c>
    </row>
    <row r="39" spans="1:6" x14ac:dyDescent="0.35">
      <c r="A39" t="s">
        <v>47</v>
      </c>
      <c r="E39" t="s">
        <v>3</v>
      </c>
    </row>
    <row r="42" spans="1:6" ht="15" thickBot="1" x14ac:dyDescent="0.4"/>
    <row r="43" spans="1:6" ht="21" x14ac:dyDescent="0.5">
      <c r="A43" s="137" t="s">
        <v>70</v>
      </c>
    </row>
    <row r="44" spans="1:6" x14ac:dyDescent="0.35">
      <c r="A44" t="s">
        <v>205</v>
      </c>
      <c r="B44" t="s">
        <v>0</v>
      </c>
      <c r="C44" s="28" t="s">
        <v>206</v>
      </c>
      <c r="D44" s="28" t="s">
        <v>207</v>
      </c>
      <c r="E44" t="s">
        <v>208</v>
      </c>
      <c r="F44" t="s">
        <v>92</v>
      </c>
    </row>
    <row r="45" spans="1:6" x14ac:dyDescent="0.35">
      <c r="B45" s="119">
        <f>(C50+E50)*0</f>
        <v>0</v>
      </c>
      <c r="C45" s="115"/>
      <c r="D45" s="115" t="e">
        <f>B45/C45</f>
        <v>#DIV/0!</v>
      </c>
      <c r="E45" s="91" t="e">
        <f>B45-D45</f>
        <v>#DIV/0!</v>
      </c>
      <c r="F45" t="s">
        <v>3</v>
      </c>
    </row>
    <row r="49" spans="1:16" ht="29" x14ac:dyDescent="0.35">
      <c r="A49" s="100"/>
      <c r="B49" s="101" t="s">
        <v>209</v>
      </c>
      <c r="C49" s="102" t="s">
        <v>210</v>
      </c>
      <c r="D49" s="103" t="s">
        <v>211</v>
      </c>
      <c r="E49" s="102" t="s">
        <v>212</v>
      </c>
      <c r="F49" s="103" t="s">
        <v>213</v>
      </c>
      <c r="G49" s="102" t="s">
        <v>214</v>
      </c>
      <c r="H49" s="103" t="s">
        <v>215</v>
      </c>
      <c r="I49" s="102" t="s">
        <v>216</v>
      </c>
      <c r="J49" s="103" t="s">
        <v>217</v>
      </c>
      <c r="K49" s="102" t="s">
        <v>218</v>
      </c>
      <c r="L49" s="103" t="s">
        <v>219</v>
      </c>
      <c r="M49" s="102" t="s">
        <v>220</v>
      </c>
      <c r="N49" s="103" t="s">
        <v>221</v>
      </c>
      <c r="O49" s="102" t="s">
        <v>222</v>
      </c>
      <c r="P49" s="103" t="s">
        <v>223</v>
      </c>
    </row>
    <row r="50" spans="1:16" s="28" customFormat="1" x14ac:dyDescent="0.35">
      <c r="A50" s="139" t="s">
        <v>1</v>
      </c>
      <c r="B50" s="28">
        <f t="shared" ref="B50" si="3">C50+E50+G50+I50+K50</f>
        <v>0</v>
      </c>
      <c r="C50" s="141"/>
      <c r="E50" s="141"/>
      <c r="G50" s="104"/>
      <c r="H50" s="140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EFA3-5B21-4FF5-9DBF-4F19ADA280EE}">
  <dimension ref="A1:D5"/>
  <sheetViews>
    <sheetView workbookViewId="0">
      <selection sqref="A1:F9"/>
    </sheetView>
  </sheetViews>
  <sheetFormatPr defaultRowHeight="14.5" x14ac:dyDescent="0.35"/>
  <cols>
    <col min="1" max="1" width="18.81640625" style="90" customWidth="1"/>
    <col min="2" max="2" width="14.54296875" customWidth="1"/>
    <col min="3" max="3" width="32.81640625" customWidth="1"/>
    <col min="4" max="4" width="41.26953125" customWidth="1"/>
  </cols>
  <sheetData>
    <row r="1" spans="1:4" x14ac:dyDescent="0.35">
      <c r="B1" s="131"/>
    </row>
    <row r="2" spans="1:4" x14ac:dyDescent="0.35">
      <c r="A2" s="132"/>
      <c r="B2" s="133"/>
    </row>
    <row r="3" spans="1:4" x14ac:dyDescent="0.35">
      <c r="B3" s="90"/>
      <c r="C3" s="90"/>
      <c r="D3" s="90"/>
    </row>
    <row r="4" spans="1:4" x14ac:dyDescent="0.35">
      <c r="A4" s="174"/>
      <c r="B4" s="197"/>
      <c r="C4" s="105"/>
      <c r="D4" s="198"/>
    </row>
    <row r="5" spans="1:4" x14ac:dyDescent="0.35">
      <c r="A5" s="176"/>
      <c r="B5" s="199"/>
      <c r="C5" s="200"/>
      <c r="D5" s="20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E13405AD44194BB9049E6EA1A3414B" ma:contentTypeVersion="15" ma:contentTypeDescription="Create a new document." ma:contentTypeScope="" ma:versionID="4cf1dc7c687c3a626c3beec330e55a08">
  <xsd:schema xmlns:xsd="http://www.w3.org/2001/XMLSchema" xmlns:xs="http://www.w3.org/2001/XMLSchema" xmlns:p="http://schemas.microsoft.com/office/2006/metadata/properties" xmlns:ns2="4793e178-8aaf-457d-8d40-bba7b916e22c" xmlns:ns3="af99d9c9-ddf3-45de-8142-1a34a5ee04a4" targetNamespace="http://schemas.microsoft.com/office/2006/metadata/properties" ma:root="true" ma:fieldsID="8b790103abd434c21ecdee62d27112b9" ns2:_="" ns3:_="">
    <xsd:import namespace="4793e178-8aaf-457d-8d40-bba7b916e22c"/>
    <xsd:import namespace="af99d9c9-ddf3-45de-8142-1a34a5ee04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3e178-8aaf-457d-8d40-bba7b916e2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eb1d6b-f24f-4b33-ab1f-768a1cdcb0d2}" ma:internalName="TaxCatchAll" ma:showField="CatchAllData" ma:web="4793e178-8aaf-457d-8d40-bba7b916e2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9d9c9-ddf3-45de-8142-1a34a5ee0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6bb6fa0-00ad-402d-a430-868573ab0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99d9c9-ddf3-45de-8142-1a34a5ee04a4">
      <Terms xmlns="http://schemas.microsoft.com/office/infopath/2007/PartnerControls"/>
    </lcf76f155ced4ddcb4097134ff3c332f>
    <TaxCatchAll xmlns="4793e178-8aaf-457d-8d40-bba7b916e22c" xsi:nil="true"/>
  </documentManagement>
</p:properties>
</file>

<file path=customXml/itemProps1.xml><?xml version="1.0" encoding="utf-8"?>
<ds:datastoreItem xmlns:ds="http://schemas.openxmlformats.org/officeDocument/2006/customXml" ds:itemID="{2630DA0B-8900-45A7-8C8A-DBA100F8B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3e178-8aaf-457d-8d40-bba7b916e22c"/>
    <ds:schemaRef ds:uri="af99d9c9-ddf3-45de-8142-1a34a5ee0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B48717-95A2-4997-8A5B-78918779F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1DC842-57D5-43E0-8A38-E586451C573A}">
  <ds:schemaRefs>
    <ds:schemaRef ds:uri="http://schemas.microsoft.com/office/2006/metadata/properties"/>
    <ds:schemaRef ds:uri="http://schemas.microsoft.com/office/infopath/2007/PartnerControls"/>
    <ds:schemaRef ds:uri="af99d9c9-ddf3-45de-8142-1a34a5ee04a4"/>
    <ds:schemaRef ds:uri="4793e178-8aaf-457d-8d40-bba7b916e2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Enrollment</vt:lpstr>
      <vt:lpstr>Overall Budget</vt:lpstr>
      <vt:lpstr>Assumptions</vt:lpstr>
      <vt:lpstr>Expense Support</vt:lpstr>
      <vt:lpstr>LCI</vt:lpstr>
      <vt:lpstr>Staffing</vt:lpstr>
      <vt:lpstr>Tables</vt:lpstr>
      <vt:lpstr>Operations</vt:lpstr>
      <vt:lpstr>Title IV</vt:lpstr>
      <vt:lpstr>Academics</vt:lpstr>
      <vt:lpstr>Technology</vt:lpstr>
      <vt:lpstr>Marketing</vt:lpstr>
      <vt:lpstr>Finance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Marques</dc:creator>
  <cp:keywords/>
  <dc:description/>
  <cp:lastModifiedBy>Savneet Sethi</cp:lastModifiedBy>
  <cp:revision/>
  <dcterms:created xsi:type="dcterms:W3CDTF">2025-02-26T15:06:33Z</dcterms:created>
  <dcterms:modified xsi:type="dcterms:W3CDTF">2026-06-02T19:35:49Z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0x01010043E13405AD44194BB9049E6EA1A3414B</vt:lpwstr>
  </property>
  <property fmtid="{D5CDD505-2E9C-101B-9397-08002B2CF9AE}" pid="3" name="MediaServiceImageTags">
    <vt:lpwstr/>
  </property>
</Properties>
</file>